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4we.sharepoint.com/sites/Shared/Shared Documents/General/AWE/Special Projects/Scotts Miracle Gro/2020-2023/Resource Positive Landscapes/Deliverables/TurfTrade_Tool/Final Tool/"/>
    </mc:Choice>
  </mc:AlternateContent>
  <xr:revisionPtr revIDLastSave="0" documentId="8_{DCDE0004-6E1A-49EA-8A85-5BE1A2D353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urf Trade T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i2Jj3EjZz7LsrJ+H2KE0N1dT9V/foY03hjjmtqLfQs="/>
    </ext>
  </extLst>
</workbook>
</file>

<file path=xl/calcChain.xml><?xml version="1.0" encoding="utf-8"?>
<calcChain xmlns="http://schemas.openxmlformats.org/spreadsheetml/2006/main">
  <c r="G21" i="1" l="1"/>
  <c r="G13" i="1"/>
  <c r="F26" i="1"/>
  <c r="G26" i="1" s="1"/>
  <c r="G19" i="1"/>
  <c r="G12" i="1"/>
  <c r="F9" i="1"/>
  <c r="G4" i="1"/>
  <c r="F6" i="1" s="1"/>
  <c r="I6" i="1" s="1"/>
  <c r="G18" i="1" l="1"/>
  <c r="G17" i="1"/>
  <c r="P6" i="1"/>
  <c r="Q6" i="1" s="1"/>
  <c r="R6" i="1" s="1"/>
  <c r="H26" i="1"/>
  <c r="H27" i="1" s="1"/>
  <c r="L6" i="1"/>
  <c r="M6" i="1" s="1"/>
  <c r="N6" i="1" s="1"/>
  <c r="F25" i="1"/>
  <c r="F27" i="1" s="1"/>
  <c r="G14" i="1"/>
  <c r="G22" i="1"/>
  <c r="G7" i="1"/>
  <c r="J6" i="1"/>
  <c r="K6" i="1" s="1"/>
  <c r="G9" i="1" l="1"/>
  <c r="L9" i="1" s="1"/>
  <c r="M9" i="1" s="1"/>
  <c r="N9" i="1" s="1"/>
  <c r="Q14" i="1"/>
  <c r="G25" i="1"/>
  <c r="G15" i="1"/>
  <c r="G16" i="1"/>
  <c r="O6" i="1"/>
  <c r="P7" i="1"/>
  <c r="Q7" i="1" s="1"/>
  <c r="L7" i="1"/>
  <c r="M7" i="1" s="1"/>
  <c r="N7" i="1" s="1"/>
  <c r="I7" i="1"/>
  <c r="G8" i="1"/>
  <c r="S6" i="1"/>
  <c r="Q13" i="1" l="1"/>
  <c r="P9" i="1"/>
  <c r="Q9" i="1" s="1"/>
  <c r="R9" i="1" s="1"/>
  <c r="S9" i="1" s="1"/>
  <c r="I25" i="1"/>
  <c r="I27" i="1" s="1"/>
  <c r="Q12" i="1"/>
  <c r="G27" i="1"/>
  <c r="J25" i="1"/>
  <c r="T6" i="1"/>
  <c r="U6" i="1" s="1"/>
  <c r="J27" i="1"/>
  <c r="P8" i="1"/>
  <c r="Q8" i="1" s="1"/>
  <c r="L8" i="1"/>
  <c r="M8" i="1" s="1"/>
  <c r="N8" i="1" s="1"/>
  <c r="I8" i="1"/>
  <c r="J8" i="1" s="1"/>
  <c r="K8" i="1" s="1"/>
  <c r="J7" i="1"/>
  <c r="K7" i="1" s="1"/>
  <c r="O7" i="1" s="1"/>
  <c r="I9" i="1"/>
  <c r="J9" i="1" s="1"/>
  <c r="K9" i="1" s="1"/>
  <c r="O9" i="1" s="1"/>
  <c r="R7" i="1"/>
  <c r="S7" i="1" s="1"/>
  <c r="Q15" i="1" l="1"/>
  <c r="O8" i="1"/>
  <c r="T7" i="1"/>
  <c r="U7" i="1" s="1"/>
  <c r="T9" i="1"/>
  <c r="U9" i="1" s="1"/>
  <c r="V9" i="1" s="1"/>
  <c r="R8" i="1"/>
  <c r="S8" i="1" s="1"/>
  <c r="V7" i="1" l="1"/>
  <c r="T8" i="1"/>
  <c r="U8" i="1" s="1"/>
  <c r="V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Devin Foster Smith</author>
  </authors>
  <commentList>
    <comment ref="F6" authorId="0" shapeId="0" xr:uid="{43067F4E-1353-46B2-8F9A-BDEDC3502D4E}">
      <text>
        <r>
          <rPr>
            <b/>
            <sz val="9"/>
            <color indexed="81"/>
            <rFont val="Tahoma"/>
            <family val="2"/>
          </rPr>
          <t xml:space="preserve">User Note
</t>
        </r>
        <r>
          <rPr>
            <sz val="9"/>
            <color indexed="81"/>
            <rFont val="Tahoma"/>
            <family val="2"/>
          </rPr>
          <t xml:space="preserve">If there is a known or target audience (households) the equation can be overwritten by entering a number of households. </t>
        </r>
      </text>
    </comment>
    <comment ref="G7" authorId="0" shapeId="0" xr:uid="{9A63F3A5-D617-4710-BFB9-04B3EA27351D}">
      <text>
        <r>
          <rPr>
            <b/>
            <sz val="9"/>
            <color indexed="81"/>
            <rFont val="Tahoma"/>
            <family val="2"/>
          </rPr>
          <t xml:space="preserve">User Note
</t>
        </r>
        <r>
          <rPr>
            <sz val="9"/>
            <color indexed="81"/>
            <rFont val="Tahoma"/>
            <family val="2"/>
          </rPr>
          <t xml:space="preserve">If there is a known number of households the equation can be overwritten by entering a number of households. </t>
        </r>
      </text>
    </comment>
    <comment ref="G8" authorId="0" shapeId="0" xr:uid="{3E5F9662-60F9-44CB-B606-EDDD1BA381BA}">
      <text>
        <r>
          <rPr>
            <b/>
            <sz val="9"/>
            <color indexed="81"/>
            <rFont val="Tahoma"/>
            <family val="2"/>
          </rPr>
          <t xml:space="preserve">User Note
</t>
        </r>
        <r>
          <rPr>
            <sz val="9"/>
            <color indexed="81"/>
            <rFont val="Tahoma"/>
            <family val="2"/>
          </rPr>
          <t>If there is a known number of households the equation can be overwritten by entering a number of households.</t>
        </r>
      </text>
    </comment>
  </commentList>
</comments>
</file>

<file path=xl/sharedStrings.xml><?xml version="1.0" encoding="utf-8"?>
<sst xmlns="http://schemas.openxmlformats.org/spreadsheetml/2006/main" count="128" uniqueCount="117">
  <si>
    <t>Demographics</t>
  </si>
  <si>
    <t>Total Landscape Area</t>
  </si>
  <si>
    <t>Baseline water use</t>
  </si>
  <si>
    <t>Estimated Converted Turf Water Use</t>
  </si>
  <si>
    <t>Estimated Converted Turf Water Savings</t>
  </si>
  <si>
    <t xml:space="preserve">Turf Area Removed </t>
  </si>
  <si>
    <t>Removed Turf Area  Water Use  (AF)</t>
  </si>
  <si>
    <t>Removed Turf Area  Water Savings (AF)</t>
  </si>
  <si>
    <t>Estimated Total Water Savings</t>
  </si>
  <si>
    <t>Conservation ROI</t>
  </si>
  <si>
    <t>P</t>
  </si>
  <si>
    <t>Population (ppl)</t>
  </si>
  <si>
    <t>Hr</t>
  </si>
  <si>
    <t>Home Ownership rate (%)</t>
  </si>
  <si>
    <t>people</t>
  </si>
  <si>
    <t>f</t>
  </si>
  <si>
    <t>Residence population (ppl/household)</t>
  </si>
  <si>
    <t>Households</t>
  </si>
  <si>
    <t>sqft</t>
  </si>
  <si>
    <t>(AF)</t>
  </si>
  <si>
    <t>AF/yr</t>
  </si>
  <si>
    <t>kgal/yr</t>
  </si>
  <si>
    <t>At</t>
  </si>
  <si>
    <t>Total Audience (households)</t>
  </si>
  <si>
    <t>Potential savings for all eligible participants</t>
  </si>
  <si>
    <t>kp</t>
  </si>
  <si>
    <t>Potential savings for participants</t>
  </si>
  <si>
    <t>Ps</t>
  </si>
  <si>
    <t>Seed participation factor (%)</t>
  </si>
  <si>
    <t>Potential savings for seeding participants</t>
  </si>
  <si>
    <t>Pv</t>
  </si>
  <si>
    <t>Sod Participation factor (%)</t>
  </si>
  <si>
    <t>Potential savings for sodding participants</t>
  </si>
  <si>
    <t xml:space="preserve">Average Landscape Project </t>
  </si>
  <si>
    <t>Average Landscape Project (ALP)</t>
  </si>
  <si>
    <t>Program Cost</t>
  </si>
  <si>
    <t>La</t>
  </si>
  <si>
    <t>Landscape Area (sqft)</t>
  </si>
  <si>
    <t>R</t>
  </si>
  <si>
    <t>Turf area reduction (%)</t>
  </si>
  <si>
    <t>Seed</t>
  </si>
  <si>
    <t>Sr</t>
  </si>
  <si>
    <t>Sod</t>
  </si>
  <si>
    <t>b</t>
  </si>
  <si>
    <t>Turf Removal</t>
  </si>
  <si>
    <t>c</t>
  </si>
  <si>
    <t>Cost/bag ($/bag)</t>
  </si>
  <si>
    <t>$/sqft</t>
  </si>
  <si>
    <t>Totals</t>
  </si>
  <si>
    <t>estimated</t>
  </si>
  <si>
    <t>Sod roll size (sqft)</t>
  </si>
  <si>
    <t>Sod cost ($/sqft)</t>
  </si>
  <si>
    <t>Turf removal( $/sqft)</t>
  </si>
  <si>
    <t>Water Savings for ALP</t>
  </si>
  <si>
    <t xml:space="preserve"> </t>
  </si>
  <si>
    <t>Reference ET (in/yr)</t>
  </si>
  <si>
    <t>difference (in/yr)</t>
  </si>
  <si>
    <t>Turf</t>
  </si>
  <si>
    <t>Converted</t>
  </si>
  <si>
    <t>Removed</t>
  </si>
  <si>
    <t>Total</t>
  </si>
  <si>
    <t>Grass Type</t>
  </si>
  <si>
    <t>Key Terms</t>
  </si>
  <si>
    <t xml:space="preserve">Variable </t>
  </si>
  <si>
    <t>Term</t>
  </si>
  <si>
    <t>Equation</t>
  </si>
  <si>
    <t xml:space="preserve">Population </t>
  </si>
  <si>
    <t>Home ownership rate</t>
  </si>
  <si>
    <t>People = P*Hr</t>
  </si>
  <si>
    <t xml:space="preserve">Residence population </t>
  </si>
  <si>
    <t>Total audience</t>
  </si>
  <si>
    <t>At = (P*Hr)/f</t>
  </si>
  <si>
    <t>Participation factor</t>
  </si>
  <si>
    <t>Households = At*kp</t>
  </si>
  <si>
    <t>Seed participation factor</t>
  </si>
  <si>
    <t>Households = (At*kp)*Ps</t>
  </si>
  <si>
    <t>Households = (At*kp)* (1-Ps)</t>
  </si>
  <si>
    <t>Landscape area</t>
  </si>
  <si>
    <t xml:space="preserve"> Turf area reduction</t>
  </si>
  <si>
    <t>Turf Remaining = La (1-R)</t>
  </si>
  <si>
    <t>Seeding Rate</t>
  </si>
  <si>
    <t>Bag size</t>
  </si>
  <si>
    <t>Number of Bags = (La(1-R)) / b</t>
  </si>
  <si>
    <t>Cost per bag</t>
  </si>
  <si>
    <t>$/sqft = (Bags * c)/ Turf Remaining</t>
  </si>
  <si>
    <r>
      <t>c</t>
    </r>
    <r>
      <rPr>
        <b/>
        <vertAlign val="subscript"/>
        <sz val="11"/>
        <color theme="1"/>
        <rFont val="Source Sans Pro"/>
        <family val="2"/>
        <scheme val="minor"/>
      </rPr>
      <t>s</t>
    </r>
  </si>
  <si>
    <t>Sod cost</t>
  </si>
  <si>
    <r>
      <t>Cost per household = c</t>
    </r>
    <r>
      <rPr>
        <vertAlign val="subscript"/>
        <sz val="11"/>
        <color theme="1"/>
        <rFont val="Source Sans Pro"/>
        <family val="2"/>
        <scheme val="minor"/>
      </rPr>
      <t>s</t>
    </r>
    <r>
      <rPr>
        <sz val="11"/>
        <color theme="1"/>
        <rFont val="Source Sans Pro"/>
        <family val="2"/>
        <scheme val="minor"/>
      </rPr>
      <t xml:space="preserve"> * Turf Remaining</t>
    </r>
  </si>
  <si>
    <r>
      <t>c</t>
    </r>
    <r>
      <rPr>
        <b/>
        <vertAlign val="subscript"/>
        <sz val="11"/>
        <color theme="1"/>
        <rFont val="Source Sans Pro"/>
        <family val="2"/>
        <scheme val="minor"/>
      </rPr>
      <t>r</t>
    </r>
  </si>
  <si>
    <t xml:space="preserve">Turf replacement cost </t>
  </si>
  <si>
    <r>
      <t>Cost per household =  c</t>
    </r>
    <r>
      <rPr>
        <vertAlign val="subscript"/>
        <sz val="11"/>
        <color theme="1"/>
        <rFont val="Source Sans Pro"/>
        <family val="2"/>
        <scheme val="minor"/>
      </rPr>
      <t>r</t>
    </r>
    <r>
      <rPr>
        <sz val="11"/>
        <color theme="1"/>
        <rFont val="Source Sans Pro"/>
        <family val="2"/>
        <scheme val="minor"/>
      </rPr>
      <t>*La*R</t>
    </r>
  </si>
  <si>
    <t xml:space="preserve">Sod participation factor </t>
  </si>
  <si>
    <t>Cool season</t>
  </si>
  <si>
    <t>Area (sqft)</t>
  </si>
  <si>
    <r>
      <t>Water Reduction (100 ft</t>
    </r>
    <r>
      <rPr>
        <vertAlign val="superscript"/>
        <sz val="11"/>
        <color rgb="FF1E386D"/>
        <rFont val="Source Sans Pro"/>
        <family val="2"/>
      </rPr>
      <t>3</t>
    </r>
    <r>
      <rPr>
        <sz val="11"/>
        <color rgb="FF1E386D"/>
        <rFont val="Source Sans Pro"/>
        <family val="2"/>
      </rPr>
      <t xml:space="preserve">) </t>
    </r>
  </si>
  <si>
    <t>Water Reduction from Turf Removal (gal/$)</t>
  </si>
  <si>
    <t>gal/$ (USD)</t>
  </si>
  <si>
    <t>Participation factor (%)</t>
  </si>
  <si>
    <t>Acre</t>
  </si>
  <si>
    <t>Cost value ($)</t>
  </si>
  <si>
    <t>Seeding rate (lbs/ 1000 sqft)</t>
  </si>
  <si>
    <t>Bag size (lbs)</t>
  </si>
  <si>
    <t>$/Household sodding</t>
  </si>
  <si>
    <t>$/Household seeding</t>
  </si>
  <si>
    <t>Bags</t>
  </si>
  <si>
    <t>Turf Area Converted to Lower Water Use Turf</t>
  </si>
  <si>
    <r>
      <t>Lower water use turf water demand (in/yr) -</t>
    </r>
    <r>
      <rPr>
        <sz val="9"/>
        <color theme="1"/>
        <rFont val="Source Sans Pro"/>
        <family val="2"/>
      </rPr>
      <t xml:space="preserve"> </t>
    </r>
    <r>
      <rPr>
        <b/>
        <i/>
        <sz val="9"/>
        <color theme="1"/>
        <rFont val="Source Sans Pro"/>
        <family val="2"/>
      </rPr>
      <t>TWCA Qualified</t>
    </r>
  </si>
  <si>
    <t>Water Reduction from Lower Water Use Turf Seed (gal/$)</t>
  </si>
  <si>
    <t>Water Reduction from Lower Water Use Turf Sod (gal/$)</t>
  </si>
  <si>
    <t>Sr = lbs per bag / 1000 sqft coverage area</t>
  </si>
  <si>
    <t>lbs/sqft</t>
  </si>
  <si>
    <t>Flat Rate per Square Foot</t>
  </si>
  <si>
    <t>$/Household turf removal and replacement with alternative landscape</t>
  </si>
  <si>
    <t>Percent of Cost Rebate</t>
  </si>
  <si>
    <t>Total removed turf and turf converted to lower water use turf area</t>
  </si>
  <si>
    <t>Lower water use turf area (sqft)</t>
  </si>
  <si>
    <t>Rolls/Avgerage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</si>
</sst>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&quot;$&quot;#,##0.00;[Red]&quot;$&quot;#,##0.00"/>
    <numFmt numFmtId="167" formatCode="0.0"/>
    <numFmt numFmtId="168" formatCode="&quot;$&quot;#,##0.0000;[Red]&quot;$&quot;#,##0.0000"/>
    <numFmt numFmtId="169" formatCode="&quot;$&quot;#,##0.00"/>
    <numFmt numFmtId="170" formatCode="&quot;$&quot;#,##0;[Red]&quot;$&quot;#,##0"/>
  </numFmts>
  <fonts count="21">
    <font>
      <sz val="11"/>
      <color theme="1"/>
      <name val="Source Sans Pro"/>
      <scheme val="minor"/>
    </font>
    <font>
      <sz val="11"/>
      <color theme="1"/>
      <name val="Inter"/>
    </font>
    <font>
      <b/>
      <sz val="11"/>
      <color theme="1"/>
      <name val="Inter"/>
    </font>
    <font>
      <sz val="11"/>
      <name val="Source Sans Pro"/>
      <family val="2"/>
    </font>
    <font>
      <sz val="11"/>
      <color theme="1"/>
      <name val="Source Sans Pro"/>
      <family val="2"/>
    </font>
    <font>
      <sz val="12"/>
      <color theme="1"/>
      <name val="Source Sans Pro"/>
      <family val="2"/>
    </font>
    <font>
      <sz val="11"/>
      <color rgb="FF1E386D"/>
      <name val="Calibri"/>
      <family val="2"/>
    </font>
    <font>
      <sz val="11"/>
      <color rgb="FF1E386D"/>
      <name val="Source Sans Pro"/>
      <family val="2"/>
    </font>
    <font>
      <sz val="11"/>
      <color theme="1"/>
      <name val="Calibri"/>
      <family val="2"/>
    </font>
    <font>
      <b/>
      <sz val="11"/>
      <color theme="1"/>
      <name val="Source Sans Pro"/>
      <family val="2"/>
    </font>
    <font>
      <i/>
      <sz val="11"/>
      <color rgb="FF1E386D"/>
      <name val="Source Sans Pro"/>
      <family val="2"/>
    </font>
    <font>
      <b/>
      <sz val="11"/>
      <color theme="1"/>
      <name val="Source Sans Pro"/>
      <family val="2"/>
    </font>
    <font>
      <b/>
      <vertAlign val="subscript"/>
      <sz val="11"/>
      <color theme="1"/>
      <name val="Source Sans Pro"/>
      <family val="2"/>
      <scheme val="minor"/>
    </font>
    <font>
      <vertAlign val="subscript"/>
      <sz val="11"/>
      <color theme="1"/>
      <name val="Source Sans Pro"/>
      <family val="2"/>
      <scheme val="minor"/>
    </font>
    <font>
      <sz val="11"/>
      <color theme="1"/>
      <name val="Source Sans Pro"/>
      <family val="2"/>
      <scheme val="minor"/>
    </font>
    <font>
      <vertAlign val="superscript"/>
      <sz val="11"/>
      <color rgb="FF1E386D"/>
      <name val="Source Sans Pro"/>
      <family val="2"/>
    </font>
    <font>
      <sz val="9"/>
      <color theme="1"/>
      <name val="Source Sans Pro"/>
      <family val="2"/>
    </font>
    <font>
      <b/>
      <i/>
      <sz val="9"/>
      <color theme="1"/>
      <name val="Source Sans Pro"/>
      <family val="2"/>
    </font>
    <font>
      <b/>
      <sz val="10"/>
      <color theme="1"/>
      <name val="Source Sans Pro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0E9DB"/>
        <bgColor rgb="FFD0E9DB"/>
      </patternFill>
    </fill>
    <fill>
      <patternFill patternType="solid">
        <fgColor rgb="FFF2F9F5"/>
        <bgColor rgb="FFF2F9F5"/>
      </patternFill>
    </fill>
    <fill>
      <patternFill patternType="solid">
        <fgColor rgb="FFE5DDF3"/>
        <bgColor rgb="FFE5DDF3"/>
      </patternFill>
    </fill>
    <fill>
      <patternFill patternType="solid">
        <fgColor theme="0"/>
        <bgColor theme="0"/>
      </patternFill>
    </fill>
    <fill>
      <patternFill patternType="solid">
        <fgColor rgb="FFBEE5FF"/>
        <bgColor rgb="FFBEE5FF"/>
      </patternFill>
    </fill>
    <fill>
      <patternFill patternType="solid">
        <fgColor theme="4" tint="0.79998168889431442"/>
        <bgColor rgb="FFF2F9F5"/>
      </patternFill>
    </fill>
    <fill>
      <patternFill patternType="lightUp">
        <fgColor theme="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0E9DB"/>
      </left>
      <right style="thin">
        <color rgb="FFD0E9DB"/>
      </right>
      <top style="thin">
        <color rgb="FFD0E9DB"/>
      </top>
      <bottom style="thin">
        <color rgb="FFD0E9DB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D0E9DB"/>
      </right>
      <top style="thin">
        <color rgb="FFD0E9DB"/>
      </top>
      <bottom style="thin">
        <color rgb="FFD0E9DB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3"/>
      </bottom>
      <diagonal/>
    </border>
  </borders>
  <cellStyleXfs count="1">
    <xf numFmtId="0" fontId="0" fillId="0" borderId="0"/>
  </cellStyleXfs>
  <cellXfs count="151">
    <xf numFmtId="0" fontId="0" fillId="0" borderId="0" xfId="0"/>
    <xf numFmtId="49" fontId="5" fillId="2" borderId="4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right" vertical="center" wrapText="1"/>
    </xf>
    <xf numFmtId="1" fontId="4" fillId="3" borderId="7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3" fontId="4" fillId="5" borderId="8" xfId="0" applyNumberFormat="1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1" fontId="4" fillId="3" borderId="11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" fontId="4" fillId="5" borderId="6" xfId="0" applyNumberFormat="1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168" fontId="4" fillId="5" borderId="6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166" fontId="4" fillId="5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textRotation="90"/>
    </xf>
    <xf numFmtId="0" fontId="4" fillId="2" borderId="19" xfId="0" applyFont="1" applyFill="1" applyBorder="1" applyAlignment="1">
      <alignment vertical="center"/>
    </xf>
    <xf numFmtId="166" fontId="4" fillId="5" borderId="8" xfId="0" applyNumberFormat="1" applyFont="1" applyFill="1" applyBorder="1" applyAlignment="1">
      <alignment vertical="center"/>
    </xf>
    <xf numFmtId="49" fontId="9" fillId="3" borderId="22" xfId="0" applyNumberFormat="1" applyFont="1" applyFill="1" applyBorder="1" applyAlignment="1">
      <alignment vertical="center" wrapText="1"/>
    </xf>
    <xf numFmtId="49" fontId="9" fillId="3" borderId="23" xfId="0" applyNumberFormat="1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right" vertical="center" wrapText="1"/>
    </xf>
    <xf numFmtId="1" fontId="4" fillId="5" borderId="6" xfId="0" applyNumberFormat="1" applyFont="1" applyFill="1" applyBorder="1" applyAlignment="1">
      <alignment horizontal="right" vertical="center"/>
    </xf>
    <xf numFmtId="49" fontId="4" fillId="3" borderId="22" xfId="0" applyNumberFormat="1" applyFont="1" applyFill="1" applyBorder="1"/>
    <xf numFmtId="0" fontId="4" fillId="2" borderId="1" xfId="0" applyFont="1" applyFill="1" applyBorder="1" applyAlignment="1">
      <alignment vertical="center" wrapText="1"/>
    </xf>
    <xf numFmtId="49" fontId="4" fillId="3" borderId="22" xfId="0" applyNumberFormat="1" applyFont="1" applyFill="1" applyBorder="1" applyAlignment="1">
      <alignment horizontal="right"/>
    </xf>
    <xf numFmtId="4" fontId="4" fillId="5" borderId="6" xfId="0" applyNumberFormat="1" applyFont="1" applyFill="1" applyBorder="1" applyAlignment="1">
      <alignment horizontal="right" vertical="center"/>
    </xf>
    <xf numFmtId="4" fontId="4" fillId="0" borderId="6" xfId="0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textRotation="90"/>
    </xf>
    <xf numFmtId="0" fontId="1" fillId="2" borderId="1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1" fontId="4" fillId="3" borderId="23" xfId="0" applyNumberFormat="1" applyFont="1" applyFill="1" applyBorder="1" applyAlignment="1">
      <alignment vertical="center"/>
    </xf>
    <xf numFmtId="49" fontId="4" fillId="3" borderId="23" xfId="0" applyNumberFormat="1" applyFont="1" applyFill="1" applyBorder="1" applyAlignment="1">
      <alignment horizontal="right" vertical="center" wrapText="1"/>
    </xf>
    <xf numFmtId="49" fontId="7" fillId="3" borderId="23" xfId="0" applyNumberFormat="1" applyFont="1" applyFill="1" applyBorder="1" applyAlignment="1">
      <alignment horizontal="right" vertical="center" wrapText="1"/>
    </xf>
    <xf numFmtId="170" fontId="4" fillId="0" borderId="23" xfId="0" applyNumberFormat="1" applyFont="1" applyBorder="1" applyAlignment="1">
      <alignment vertical="center"/>
    </xf>
    <xf numFmtId="170" fontId="4" fillId="0" borderId="23" xfId="0" applyNumberFormat="1" applyFont="1" applyBorder="1" applyAlignment="1">
      <alignment horizontal="right" vertical="center"/>
    </xf>
    <xf numFmtId="0" fontId="4" fillId="3" borderId="23" xfId="0" applyFont="1" applyFill="1" applyBorder="1" applyAlignment="1">
      <alignment vertical="center"/>
    </xf>
    <xf numFmtId="4" fontId="9" fillId="2" borderId="30" xfId="0" applyNumberFormat="1" applyFont="1" applyFill="1" applyBorder="1" applyAlignment="1">
      <alignment horizontal="right" vertical="center"/>
    </xf>
    <xf numFmtId="0" fontId="4" fillId="2" borderId="32" xfId="0" applyFont="1" applyFill="1" applyBorder="1" applyAlignment="1">
      <alignment vertical="center"/>
    </xf>
    <xf numFmtId="49" fontId="4" fillId="2" borderId="32" xfId="0" applyNumberFormat="1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0" fillId="0" borderId="23" xfId="0" applyBorder="1"/>
    <xf numFmtId="49" fontId="4" fillId="3" borderId="23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vertical="center" textRotation="90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30" xfId="0" applyNumberFormat="1" applyFont="1" applyFill="1" applyBorder="1" applyAlignment="1">
      <alignment horizontal="right" vertical="center" wrapText="1"/>
    </xf>
    <xf numFmtId="0" fontId="1" fillId="2" borderId="29" xfId="0" applyFont="1" applyFill="1" applyBorder="1" applyAlignment="1">
      <alignment vertical="center" textRotation="90"/>
    </xf>
    <xf numFmtId="49" fontId="4" fillId="3" borderId="30" xfId="0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  <xf numFmtId="49" fontId="4" fillId="3" borderId="31" xfId="0" applyNumberFormat="1" applyFont="1" applyFill="1" applyBorder="1" applyAlignment="1">
      <alignment horizontal="center" vertical="center" wrapText="1"/>
    </xf>
    <xf numFmtId="49" fontId="4" fillId="3" borderId="32" xfId="0" applyNumberFormat="1" applyFont="1" applyFill="1" applyBorder="1" applyAlignment="1">
      <alignment horizontal="left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30" xfId="0" applyNumberFormat="1" applyFont="1" applyFill="1" applyBorder="1" applyAlignment="1">
      <alignment horizontal="left" vertical="center" wrapText="1"/>
    </xf>
    <xf numFmtId="49" fontId="4" fillId="3" borderId="27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textRotation="90"/>
    </xf>
    <xf numFmtId="164" fontId="4" fillId="0" borderId="5" xfId="0" applyNumberFormat="1" applyFont="1" applyBorder="1" applyAlignment="1">
      <alignment vertical="center"/>
    </xf>
    <xf numFmtId="3" fontId="4" fillId="5" borderId="5" xfId="0" applyNumberFormat="1" applyFont="1" applyFill="1" applyBorder="1" applyAlignment="1">
      <alignment vertical="center"/>
    </xf>
    <xf numFmtId="49" fontId="4" fillId="3" borderId="22" xfId="0" applyNumberFormat="1" applyFont="1" applyFill="1" applyBorder="1" applyAlignment="1">
      <alignment horizontal="right" vertical="center" wrapText="1"/>
    </xf>
    <xf numFmtId="0" fontId="5" fillId="3" borderId="23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49" fontId="4" fillId="3" borderId="23" xfId="0" applyNumberFormat="1" applyFont="1" applyFill="1" applyBorder="1" applyAlignment="1">
      <alignment vertical="center" wrapText="1"/>
    </xf>
    <xf numFmtId="0" fontId="5" fillId="3" borderId="30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49" fontId="11" fillId="3" borderId="30" xfId="0" applyNumberFormat="1" applyFont="1" applyFill="1" applyBorder="1" applyAlignment="1">
      <alignment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/>
    </xf>
    <xf numFmtId="49" fontId="4" fillId="3" borderId="30" xfId="0" applyNumberFormat="1" applyFont="1" applyFill="1" applyBorder="1" applyAlignment="1">
      <alignment vertical="center" wrapText="1"/>
    </xf>
    <xf numFmtId="0" fontId="4" fillId="3" borderId="23" xfId="0" applyFont="1" applyFill="1" applyBorder="1"/>
    <xf numFmtId="49" fontId="4" fillId="3" borderId="23" xfId="0" applyNumberFormat="1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 applyProtection="1">
      <alignment vertical="center" wrapText="1"/>
      <protection locked="0"/>
    </xf>
    <xf numFmtId="164" fontId="6" fillId="4" borderId="6" xfId="0" applyNumberFormat="1" applyFont="1" applyFill="1" applyBorder="1" applyAlignment="1" applyProtection="1">
      <alignment vertical="center" wrapText="1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164" fontId="6" fillId="6" borderId="6" xfId="0" applyNumberFormat="1" applyFont="1" applyFill="1" applyBorder="1" applyAlignment="1" applyProtection="1">
      <alignment vertical="center"/>
      <protection locked="0"/>
    </xf>
    <xf numFmtId="4" fontId="8" fillId="6" borderId="6" xfId="0" applyNumberFormat="1" applyFont="1" applyFill="1" applyBorder="1" applyAlignment="1" applyProtection="1">
      <alignment vertical="center"/>
      <protection locked="0"/>
    </xf>
    <xf numFmtId="10" fontId="6" fillId="6" borderId="15" xfId="0" applyNumberFormat="1" applyFont="1" applyFill="1" applyBorder="1" applyAlignment="1" applyProtection="1">
      <alignment vertical="center"/>
      <protection locked="0"/>
    </xf>
    <xf numFmtId="167" fontId="6" fillId="6" borderId="15" xfId="0" applyNumberFormat="1" applyFont="1" applyFill="1" applyBorder="1" applyAlignment="1" applyProtection="1">
      <alignment vertical="center"/>
      <protection locked="0"/>
    </xf>
    <xf numFmtId="0" fontId="6" fillId="6" borderId="15" xfId="0" applyFont="1" applyFill="1" applyBorder="1" applyAlignment="1" applyProtection="1">
      <alignment vertical="center"/>
      <protection locked="0"/>
    </xf>
    <xf numFmtId="166" fontId="6" fillId="6" borderId="15" xfId="0" applyNumberFormat="1" applyFont="1" applyFill="1" applyBorder="1" applyAlignment="1" applyProtection="1">
      <alignment vertical="center"/>
      <protection locked="0"/>
    </xf>
    <xf numFmtId="0" fontId="8" fillId="6" borderId="6" xfId="0" applyFont="1" applyFill="1" applyBorder="1" applyAlignment="1" applyProtection="1">
      <alignment vertical="center"/>
      <protection locked="0"/>
    </xf>
    <xf numFmtId="166" fontId="8" fillId="6" borderId="6" xfId="0" applyNumberFormat="1" applyFont="1" applyFill="1" applyBorder="1" applyAlignment="1" applyProtection="1">
      <alignment vertical="center"/>
      <protection locked="0"/>
    </xf>
    <xf numFmtId="169" fontId="7" fillId="6" borderId="6" xfId="0" applyNumberFormat="1" applyFont="1" applyFill="1" applyBorder="1" applyAlignment="1" applyProtection="1">
      <alignment vertical="center"/>
      <protection locked="0"/>
    </xf>
    <xf numFmtId="0" fontId="6" fillId="6" borderId="6" xfId="0" applyFont="1" applyFill="1" applyBorder="1" applyAlignment="1" applyProtection="1">
      <alignment vertical="center"/>
      <protection locked="0"/>
    </xf>
    <xf numFmtId="49" fontId="4" fillId="7" borderId="30" xfId="0" applyNumberFormat="1" applyFont="1" applyFill="1" applyBorder="1" applyAlignment="1" applyProtection="1">
      <alignment vertical="center" wrapText="1"/>
      <protection locked="0"/>
    </xf>
    <xf numFmtId="0" fontId="4" fillId="3" borderId="6" xfId="0" applyFont="1" applyFill="1" applyBorder="1" applyAlignment="1">
      <alignment vertical="center" wrapText="1"/>
    </xf>
    <xf numFmtId="49" fontId="4" fillId="3" borderId="23" xfId="0" applyNumberFormat="1" applyFont="1" applyFill="1" applyBorder="1" applyAlignment="1">
      <alignment horizontal="left" vertical="center"/>
    </xf>
    <xf numFmtId="4" fontId="9" fillId="5" borderId="23" xfId="0" applyNumberFormat="1" applyFont="1" applyFill="1" applyBorder="1" applyAlignment="1">
      <alignment vertical="center"/>
    </xf>
    <xf numFmtId="4" fontId="9" fillId="5" borderId="23" xfId="0" applyNumberFormat="1" applyFont="1" applyFill="1" applyBorder="1" applyAlignment="1">
      <alignment horizontal="right" vertical="center"/>
    </xf>
    <xf numFmtId="4" fontId="9" fillId="0" borderId="23" xfId="0" applyNumberFormat="1" applyFont="1" applyBorder="1" applyAlignment="1">
      <alignment vertical="center"/>
    </xf>
    <xf numFmtId="9" fontId="4" fillId="6" borderId="23" xfId="0" applyNumberFormat="1" applyFont="1" applyFill="1" applyBorder="1" applyAlignment="1" applyProtection="1">
      <alignment horizontal="right" vertical="center"/>
      <protection locked="0"/>
    </xf>
    <xf numFmtId="9" fontId="7" fillId="6" borderId="23" xfId="0" applyNumberFormat="1" applyFont="1" applyFill="1" applyBorder="1" applyAlignment="1" applyProtection="1">
      <alignment horizontal="right" vertical="center"/>
      <protection locked="0"/>
    </xf>
    <xf numFmtId="4" fontId="4" fillId="8" borderId="6" xfId="0" applyNumberFormat="1" applyFont="1" applyFill="1" applyBorder="1" applyAlignment="1">
      <alignment vertical="center"/>
    </xf>
    <xf numFmtId="4" fontId="4" fillId="5" borderId="41" xfId="0" applyNumberFormat="1" applyFont="1" applyFill="1" applyBorder="1" applyAlignment="1">
      <alignment horizontal="right" vertical="center"/>
    </xf>
    <xf numFmtId="4" fontId="4" fillId="0" borderId="41" xfId="0" applyNumberFormat="1" applyFont="1" applyBorder="1" applyAlignment="1">
      <alignment vertical="center"/>
    </xf>
    <xf numFmtId="4" fontId="4" fillId="8" borderId="41" xfId="0" applyNumberFormat="1" applyFont="1" applyFill="1" applyBorder="1" applyAlignment="1">
      <alignment vertical="center"/>
    </xf>
    <xf numFmtId="49" fontId="18" fillId="3" borderId="23" xfId="0" applyNumberFormat="1" applyFont="1" applyFill="1" applyBorder="1" applyAlignment="1">
      <alignment vertical="center" wrapText="1"/>
    </xf>
    <xf numFmtId="49" fontId="9" fillId="3" borderId="23" xfId="0" applyNumberFormat="1" applyFont="1" applyFill="1" applyBorder="1" applyAlignment="1">
      <alignment vertical="center"/>
    </xf>
    <xf numFmtId="169" fontId="4" fillId="6" borderId="2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3" fillId="0" borderId="36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textRotation="90" wrapText="1"/>
    </xf>
    <xf numFmtId="49" fontId="4" fillId="3" borderId="23" xfId="0" applyNumberFormat="1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textRotation="90"/>
    </xf>
    <xf numFmtId="0" fontId="3" fillId="0" borderId="29" xfId="0" applyFont="1" applyBorder="1"/>
    <xf numFmtId="0" fontId="3" fillId="0" borderId="31" xfId="0" applyFont="1" applyBorder="1"/>
    <xf numFmtId="49" fontId="4" fillId="3" borderId="12" xfId="0" applyNumberFormat="1" applyFont="1" applyFill="1" applyBorder="1" applyAlignment="1">
      <alignment horizontal="left" vertical="center" wrapText="1"/>
    </xf>
    <xf numFmtId="0" fontId="3" fillId="0" borderId="13" xfId="0" applyFont="1" applyBorder="1"/>
    <xf numFmtId="0" fontId="3" fillId="0" borderId="23" xfId="0" applyFont="1" applyBorder="1"/>
    <xf numFmtId="0" fontId="1" fillId="2" borderId="27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1" fillId="2" borderId="38" xfId="0" applyFont="1" applyFill="1" applyBorder="1" applyAlignment="1">
      <alignment horizontal="center" vertical="center" textRotation="90"/>
    </xf>
    <xf numFmtId="0" fontId="3" fillId="0" borderId="37" xfId="0" applyFont="1" applyBorder="1"/>
    <xf numFmtId="0" fontId="3" fillId="0" borderId="40" xfId="0" applyFont="1" applyBorder="1"/>
    <xf numFmtId="0" fontId="10" fillId="3" borderId="22" xfId="0" applyFont="1" applyFill="1" applyBorder="1" applyAlignment="1">
      <alignment horizontal="right" vertical="center" wrapText="1"/>
    </xf>
    <xf numFmtId="49" fontId="7" fillId="3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/>
    </xf>
    <xf numFmtId="0" fontId="4" fillId="3" borderId="23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4" fillId="3" borderId="23" xfId="0" applyNumberFormat="1" applyFont="1" applyFill="1" applyBorder="1" applyAlignment="1">
      <alignment horizontal="left" vertical="center" wrapText="1"/>
    </xf>
    <xf numFmtId="0" fontId="3" fillId="0" borderId="30" xfId="0" applyFont="1" applyBorder="1"/>
    <xf numFmtId="3" fontId="4" fillId="5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Protection="1">
      <protection locked="0"/>
    </xf>
    <xf numFmtId="3" fontId="4" fillId="5" borderId="6" xfId="0" applyNumberFormat="1" applyFont="1" applyFill="1" applyBorder="1" applyAlignment="1" applyProtection="1">
      <alignment vertical="center"/>
      <protection locked="0"/>
    </xf>
    <xf numFmtId="3" fontId="4" fillId="5" borderId="6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3" fontId="4" fillId="5" borderId="5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5" fontId="4" fillId="5" borderId="5" xfId="0" applyNumberFormat="1" applyFont="1" applyFill="1" applyBorder="1" applyAlignment="1">
      <alignment horizontal="center" vertical="center"/>
    </xf>
    <xf numFmtId="3" fontId="4" fillId="5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B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tx2"/>
                </a:solidFill>
              </a:rPr>
              <a:t>Estimated </a:t>
            </a:r>
            <a:r>
              <a:rPr lang="en-US" sz="1400" b="1" i="0" u="none" strike="noStrike" kern="1200" spc="0" baseline="0">
                <a:solidFill>
                  <a:schemeClr val="tx2"/>
                </a:solidFill>
              </a:rPr>
              <a:t>Total </a:t>
            </a:r>
            <a:r>
              <a:rPr lang="en-US" sz="1400" b="1">
                <a:solidFill>
                  <a:schemeClr val="tx2"/>
                </a:solidFill>
              </a:rPr>
              <a:t>Water Savings</a:t>
            </a:r>
          </a:p>
        </c:rich>
      </c:tx>
      <c:layout>
        <c:manualLayout>
          <c:xMode val="edge"/>
          <c:yMode val="edge"/>
          <c:x val="0.20100746137842868"/>
          <c:y val="4.0856996640877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26932928994095"/>
          <c:y val="0.13056288723808496"/>
          <c:w val="0.46605765126339177"/>
          <c:h val="0.82904088422627398"/>
        </c:manualLayout>
      </c:layout>
      <c:barChart>
        <c:barDir val="col"/>
        <c:grouping val="clustered"/>
        <c:varyColors val="0"/>
        <c:ser>
          <c:idx val="0"/>
          <c:order val="0"/>
          <c:tx>
            <c:v>All participants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20000"/>
                  <a:lumOff val="80000"/>
                </a:schemeClr>
              </a:solidFill>
            </a:ln>
            <a:effectLst/>
          </c:spPr>
          <c:invertIfNegative val="0"/>
          <c:val>
            <c:numRef>
              <c:f>'Turf Trade Tool'!$U$7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E0-4595-8736-03C3C6DC6C86}"/>
            </c:ext>
          </c:extLst>
        </c:ser>
        <c:ser>
          <c:idx val="1"/>
          <c:order val="1"/>
          <c:tx>
            <c:v>Seeding Participants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val>
            <c:numRef>
              <c:f>'Turf Trade Tool'!$U$8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E0-4595-8736-03C3C6DC6C86}"/>
            </c:ext>
          </c:extLst>
        </c:ser>
        <c:ser>
          <c:idx val="2"/>
          <c:order val="2"/>
          <c:tx>
            <c:v>Sodding Participants</c:v>
          </c:tx>
          <c:spPr>
            <a:solidFill>
              <a:schemeClr val="accent4">
                <a:lumMod val="50000"/>
              </a:schemeClr>
            </a:solidFill>
            <a:ln>
              <a:solidFill>
                <a:schemeClr val="accent4">
                  <a:lumMod val="90000"/>
                </a:schemeClr>
              </a:solidFill>
            </a:ln>
            <a:effectLst/>
          </c:spPr>
          <c:invertIfNegative val="0"/>
          <c:val>
            <c:numRef>
              <c:f>'Turf Trade Tool'!$U$9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CE0-4595-8736-03C3C6DC6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-50"/>
        <c:axId val="100227296"/>
        <c:axId val="100228736"/>
      </c:barChart>
      <c:catAx>
        <c:axId val="100227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00228736"/>
        <c:crosses val="autoZero"/>
        <c:auto val="1"/>
        <c:lblAlgn val="ctr"/>
        <c:lblOffset val="100"/>
        <c:noMultiLvlLbl val="0"/>
      </c:catAx>
      <c:valAx>
        <c:axId val="1002287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tx2"/>
                    </a:solidFill>
                  </a:rPr>
                  <a:t>Water</a:t>
                </a:r>
                <a:r>
                  <a:rPr lang="en-US" sz="1100" baseline="0">
                    <a:solidFill>
                      <a:schemeClr val="tx2"/>
                    </a:solidFill>
                  </a:rPr>
                  <a:t> Savings (kgal/yr)</a:t>
                </a:r>
                <a:endParaRPr lang="en-US" sz="1100">
                  <a:solidFill>
                    <a:schemeClr val="tx2"/>
                  </a:solidFill>
                </a:endParaRPr>
              </a:p>
            </c:rich>
          </c:tx>
          <c:layout>
            <c:manualLayout>
              <c:xMode val="edge"/>
              <c:yMode val="edge"/>
              <c:x val="1.4700507257193501E-2"/>
              <c:y val="0.30617462941675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2729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legend>
      <c:legendPos val="r"/>
      <c:layout>
        <c:manualLayout>
          <c:xMode val="edge"/>
          <c:yMode val="edge"/>
          <c:x val="0.67062328411437444"/>
          <c:y val="0.12867588190099036"/>
          <c:w val="0.27592359202802225"/>
          <c:h val="0.187904193326881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tx2"/>
                </a:solidFill>
              </a:rPr>
              <a:t>Estimated </a:t>
            </a:r>
            <a:r>
              <a:rPr lang="en-US" sz="1400" b="1" i="0" u="none" strike="noStrike" kern="1200" spc="0" baseline="0">
                <a:solidFill>
                  <a:schemeClr val="tx2"/>
                </a:solidFill>
              </a:rPr>
              <a:t>Conservation ROI</a:t>
            </a:r>
            <a:endParaRPr lang="en-US" sz="1400" b="1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0100746137842868"/>
          <c:y val="4.0856996640877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26932928994095"/>
          <c:y val="0.13056288723808496"/>
          <c:w val="0.46605765126339177"/>
          <c:h val="0.82904088422627398"/>
        </c:manualLayout>
      </c:layout>
      <c:barChart>
        <c:barDir val="col"/>
        <c:grouping val="clustered"/>
        <c:varyColors val="0"/>
        <c:ser>
          <c:idx val="0"/>
          <c:order val="0"/>
          <c:tx>
            <c:v>All participants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20000"/>
                  <a:lumOff val="80000"/>
                </a:schemeClr>
              </a:solidFill>
            </a:ln>
            <a:effectLst/>
          </c:spPr>
          <c:invertIfNegative val="0"/>
          <c:val>
            <c:numRef>
              <c:f>'Turf Trade Tool'!$V$7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5-41F6-8745-811FBAF09C6B}"/>
            </c:ext>
          </c:extLst>
        </c:ser>
        <c:ser>
          <c:idx val="1"/>
          <c:order val="1"/>
          <c:tx>
            <c:v>Seeding Participants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val>
            <c:numRef>
              <c:f>'Turf Trade Tool'!$V$8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5-41F6-8745-811FBAF09C6B}"/>
            </c:ext>
          </c:extLst>
        </c:ser>
        <c:ser>
          <c:idx val="2"/>
          <c:order val="2"/>
          <c:tx>
            <c:v>Sodding Participants</c:v>
          </c:tx>
          <c:spPr>
            <a:solidFill>
              <a:schemeClr val="accent4">
                <a:lumMod val="50000"/>
              </a:schemeClr>
            </a:solidFill>
            <a:ln>
              <a:solidFill>
                <a:schemeClr val="accent4">
                  <a:lumMod val="90000"/>
                </a:schemeClr>
              </a:solidFill>
            </a:ln>
            <a:effectLst/>
          </c:spPr>
          <c:invertIfNegative val="0"/>
          <c:val>
            <c:numRef>
              <c:f>'Turf Trade Tool'!$V$9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5-41F6-8745-811FBAF09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overlap val="-50"/>
        <c:axId val="100227296"/>
        <c:axId val="100228736"/>
      </c:barChart>
      <c:catAx>
        <c:axId val="100227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00228736"/>
        <c:crosses val="autoZero"/>
        <c:auto val="1"/>
        <c:lblAlgn val="ctr"/>
        <c:lblOffset val="100"/>
        <c:noMultiLvlLbl val="0"/>
      </c:catAx>
      <c:valAx>
        <c:axId val="1002287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>
                    <a:solidFill>
                      <a:schemeClr val="tx2"/>
                    </a:solidFill>
                  </a:rPr>
                  <a:t>Water</a:t>
                </a:r>
                <a:r>
                  <a:rPr lang="en-US" sz="1100" baseline="0">
                    <a:solidFill>
                      <a:schemeClr val="tx2"/>
                    </a:solidFill>
                  </a:rPr>
                  <a:t> Savings (gal/$)</a:t>
                </a:r>
                <a:endParaRPr lang="en-US" sz="1100">
                  <a:solidFill>
                    <a:schemeClr val="tx2"/>
                  </a:solidFill>
                </a:endParaRPr>
              </a:p>
            </c:rich>
          </c:tx>
          <c:layout>
            <c:manualLayout>
              <c:xMode val="edge"/>
              <c:yMode val="edge"/>
              <c:x val="1.470047658048664E-2"/>
              <c:y val="0.351566706450768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2729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legend>
      <c:legendPos val="r"/>
      <c:layout>
        <c:manualLayout>
          <c:xMode val="edge"/>
          <c:yMode val="edge"/>
          <c:x val="0.67062328411437444"/>
          <c:y val="0.12867588190099036"/>
          <c:w val="0.29758898301881126"/>
          <c:h val="0.1899646215693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105947</xdr:colOff>
      <xdr:row>19</xdr:row>
      <xdr:rowOff>27405</xdr:rowOff>
    </xdr:from>
    <xdr:ext cx="6677024" cy="2873086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5947" y="4795348"/>
          <a:ext cx="6677024" cy="2873086"/>
          <a:chOff x="2007488" y="2656050"/>
          <a:chExt cx="6677024" cy="2873086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007488" y="2656050"/>
            <a:ext cx="6677024" cy="2873086"/>
            <a:chOff x="7608503" y="3559107"/>
            <a:chExt cx="5810250" cy="2463732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7608503" y="3559107"/>
              <a:ext cx="5810250" cy="1927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7608504" y="3559107"/>
              <a:ext cx="4111104" cy="2463732"/>
            </a:xfrm>
            <a:prstGeom prst="roundRect">
              <a:avLst>
                <a:gd name="adj" fmla="val 16667"/>
              </a:avLst>
            </a:prstGeom>
            <a:solidFill>
              <a:schemeClr val="lt1"/>
            </a:solidFill>
            <a:ln w="9525" cap="flat" cmpd="sng">
              <a:solidFill>
                <a:schemeClr val="dk1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HOW TO USE     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1) Scroll down through the table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3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2) Fill in the colored boxes with appropriately sourced information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3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3) Scoll right to see affected area(s) and anticipated savings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cap="none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COLOR-CODED USER</a:t>
              </a:r>
              <a:br>
                <a:rPr lang="en-US" sz="1100" b="1" cap="none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</a:br>
              <a:r>
                <a:rPr lang="en-US" sz="1100" b="1" cap="none">
                  <a:solidFill>
                    <a:schemeClr val="dk2"/>
                  </a:solidFill>
                  <a:latin typeface="Arial"/>
                  <a:ea typeface="Arial"/>
                  <a:cs typeface="Arial"/>
                  <a:sym typeface="Arial"/>
                </a:rPr>
                <a:t>INTERACTION GUIDE</a:t>
              </a:r>
              <a:endParaRPr sz="14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7824555" y="4839322"/>
              <a:ext cx="1629246" cy="331457"/>
            </a:xfrm>
            <a:prstGeom prst="rect">
              <a:avLst/>
            </a:prstGeom>
            <a:solidFill>
              <a:srgbClr val="E4DCF3"/>
            </a:solidFill>
            <a:ln w="12700" cap="flat" cmpd="sng">
              <a:solidFill>
                <a:schemeClr val="accent5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accent5"/>
                  </a:solidFill>
                  <a:latin typeface="Arial"/>
                  <a:ea typeface="Arial"/>
                  <a:cs typeface="Arial"/>
                  <a:sym typeface="Arial"/>
                </a:rPr>
                <a:t>CENSUS/DEMOGRAPHIC</a:t>
              </a:r>
              <a:r>
                <a:rPr lang="en-US" sz="1100" baseline="0">
                  <a:solidFill>
                    <a:schemeClr val="accent5"/>
                  </a:solidFill>
                  <a:latin typeface="Arial"/>
                  <a:ea typeface="Arial"/>
                  <a:cs typeface="Arial"/>
                  <a:sym typeface="Arial"/>
                </a:rPr>
                <a:t> SOURCE</a:t>
              </a:r>
              <a:r>
                <a:rPr lang="en-US" sz="1100">
                  <a:solidFill>
                    <a:schemeClr val="accent5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endParaRPr sz="1100">
                <a:solidFill>
                  <a:schemeClr val="accent5"/>
                </a:solidFill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7827791" y="5229653"/>
              <a:ext cx="716128" cy="230351"/>
            </a:xfrm>
            <a:prstGeom prst="rect">
              <a:avLst/>
            </a:prstGeom>
            <a:solidFill>
              <a:srgbClr val="BEE4FF"/>
            </a:solidFill>
            <a:ln w="12700" cap="flat" cmpd="sng">
              <a:solidFill>
                <a:schemeClr val="accent1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accent1"/>
                  </a:solidFill>
                  <a:latin typeface="Arial"/>
                  <a:ea typeface="Arial"/>
                  <a:cs typeface="Arial"/>
                  <a:sym typeface="Arial"/>
                </a:rPr>
                <a:t>USER </a:t>
              </a:r>
              <a:endParaRPr sz="1400"/>
            </a:p>
          </xdr:txBody>
        </xdr:sp>
        <xdr:pic>
          <xdr:nvPic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10655084" y="4540259"/>
              <a:ext cx="760285" cy="74396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9714760" y="5331235"/>
              <a:ext cx="1631534" cy="66291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9645970" y="4469664"/>
              <a:ext cx="900289" cy="890979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twoCellAnchor>
    <xdr:from>
      <xdr:col>11</xdr:col>
      <xdr:colOff>475359</xdr:colOff>
      <xdr:row>17</xdr:row>
      <xdr:rowOff>102251</xdr:rowOff>
    </xdr:from>
    <xdr:to>
      <xdr:col>17</xdr:col>
      <xdr:colOff>372168</xdr:colOff>
      <xdr:row>27</xdr:row>
      <xdr:rowOff>748393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2068672-D5FC-4B06-9616-451108B4C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545348</xdr:colOff>
      <xdr:row>17</xdr:row>
      <xdr:rowOff>96430</xdr:rowOff>
    </xdr:from>
    <xdr:to>
      <xdr:col>22</xdr:col>
      <xdr:colOff>1435990</xdr:colOff>
      <xdr:row>27</xdr:row>
      <xdr:rowOff>734785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FB11236-349F-4F9A-BB1B-5D5E6F615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0.6755</cdr:x>
      <cdr:y>0.68011</cdr:y>
    </cdr:from>
    <cdr:to>
      <cdr:x>0.98934</cdr:x>
      <cdr:y>0.95636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2619451-F371-966A-6505-6F732A0EF957}"/>
            </a:ext>
          </a:extLst>
        </cdr:cNvPr>
        <cdr:cNvSpPr txBox="1"/>
      </cdr:nvSpPr>
      <cdr:spPr>
        <a:xfrm xmlns:a="http://schemas.openxmlformats.org/drawingml/2006/main">
          <a:off x="3306715" y="2647703"/>
          <a:ext cx="1536324" cy="107543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2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en-US" sz="1000" kern="1200">
              <a:latin typeface="Source Sans Pro (Body)"/>
            </a:rPr>
            <a:t>The</a:t>
          </a:r>
          <a:r>
            <a:rPr lang="en-US" sz="1000" kern="1200" baseline="0">
              <a:latin typeface="Source Sans Pro (Body)"/>
            </a:rPr>
            <a:t> figure shows the </a:t>
          </a:r>
          <a:br>
            <a:rPr lang="en-US" sz="1000" kern="1200" baseline="0">
              <a:latin typeface="Source Sans Pro (Body)"/>
            </a:rPr>
          </a:br>
          <a:r>
            <a:rPr lang="en-US" sz="1000" kern="1200" baseline="0">
              <a:latin typeface="Source Sans Pro (Body)"/>
            </a:rPr>
            <a:t>estimated water savings </a:t>
          </a:r>
        </a:p>
        <a:p xmlns:a="http://schemas.openxmlformats.org/drawingml/2006/main">
          <a:pPr algn="l"/>
          <a:r>
            <a:rPr lang="en-US" sz="1000" kern="1200" baseline="0">
              <a:latin typeface="Source Sans Pro (Body)"/>
            </a:rPr>
            <a:t>as a function of the</a:t>
          </a:r>
        </a:p>
        <a:p xmlns:a="http://schemas.openxmlformats.org/drawingml/2006/main">
          <a:pPr algn="l"/>
          <a:r>
            <a:rPr lang="en-US" sz="1000" kern="1200" baseline="0">
              <a:latin typeface="Source Sans Pro (Body)"/>
            </a:rPr>
            <a:t>demographic participation</a:t>
          </a:r>
        </a:p>
        <a:p xmlns:a="http://schemas.openxmlformats.org/drawingml/2006/main">
          <a:pPr algn="l"/>
          <a:r>
            <a:rPr lang="en-US" sz="1000" kern="1200" baseline="0">
              <a:latin typeface="Source Sans Pro (Body)"/>
            </a:rPr>
            <a:t>terms, state limits, and</a:t>
          </a:r>
          <a:br>
            <a:rPr lang="en-US" sz="1000" kern="1200" baseline="0">
              <a:latin typeface="Source Sans Pro (Body)"/>
            </a:rPr>
          </a:br>
          <a:r>
            <a:rPr lang="en-US" sz="1000" kern="1200" baseline="0">
              <a:latin typeface="Source Sans Pro (Body)"/>
            </a:rPr>
            <a:t>targets.</a:t>
          </a:r>
          <a:endParaRPr lang="en-US" sz="1000" kern="1200">
            <a:latin typeface="Source Sans Pro (Body)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0.6721</cdr:x>
      <cdr:y>0.68151</cdr:y>
    </cdr:from>
    <cdr:to>
      <cdr:x>0.97658</cdr:x>
      <cdr:y>0.95636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2619451-F371-966A-6505-6F732A0EF957}"/>
            </a:ext>
          </a:extLst>
        </cdr:cNvPr>
        <cdr:cNvSpPr txBox="1"/>
      </cdr:nvSpPr>
      <cdr:spPr>
        <a:xfrm xmlns:a="http://schemas.openxmlformats.org/drawingml/2006/main">
          <a:off x="3543646" y="2689735"/>
          <a:ext cx="1605335" cy="108475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2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effectLst/>
              <a:latin typeface="+mn-lt"/>
              <a:ea typeface="+mn-ea"/>
              <a:cs typeface="+mn-cs"/>
            </a:rPr>
            <a:t>The</a:t>
          </a:r>
          <a:r>
            <a:rPr lang="en-US" sz="1000" baseline="0">
              <a:effectLst/>
              <a:latin typeface="+mn-lt"/>
              <a:ea typeface="+mn-ea"/>
              <a:cs typeface="+mn-cs"/>
            </a:rPr>
            <a:t> figure shows the </a:t>
          </a:r>
          <a:br>
            <a:rPr lang="en-US" sz="1000" baseline="0">
              <a:effectLst/>
              <a:latin typeface="+mn-lt"/>
              <a:ea typeface="+mn-ea"/>
              <a:cs typeface="+mn-cs"/>
            </a:rPr>
          </a:br>
          <a:r>
            <a:rPr lang="en-US" sz="1000" baseline="0">
              <a:effectLst/>
              <a:latin typeface="+mn-lt"/>
              <a:ea typeface="+mn-ea"/>
              <a:cs typeface="+mn-cs"/>
            </a:rPr>
            <a:t>estimated conservation ROI</a:t>
          </a:r>
          <a:endParaRPr lang="en-US" sz="1000">
            <a:effectLst/>
          </a:endParaRPr>
        </a:p>
        <a:p xmlns:a="http://schemas.openxmlformats.org/drawingml/2006/main">
          <a:r>
            <a:rPr lang="en-US" sz="1000" baseline="0">
              <a:effectLst/>
              <a:latin typeface="+mn-lt"/>
              <a:ea typeface="+mn-ea"/>
              <a:cs typeface="+mn-cs"/>
            </a:rPr>
            <a:t>as a function of the</a:t>
          </a:r>
          <a:endParaRPr lang="en-US" sz="1000">
            <a:effectLst/>
          </a:endParaRPr>
        </a:p>
        <a:p xmlns:a="http://schemas.openxmlformats.org/drawingml/2006/main">
          <a:r>
            <a:rPr lang="en-US" sz="1000" baseline="0">
              <a:effectLst/>
              <a:latin typeface="+mn-lt"/>
              <a:ea typeface="+mn-ea"/>
              <a:cs typeface="+mn-cs"/>
            </a:rPr>
            <a:t>demographic participation</a:t>
          </a:r>
          <a:endParaRPr lang="en-US" sz="1000">
            <a:effectLst/>
          </a:endParaRPr>
        </a:p>
        <a:p xmlns:a="http://schemas.openxmlformats.org/drawingml/2006/main">
          <a:r>
            <a:rPr lang="en-US" sz="1000" baseline="0">
              <a:effectLst/>
              <a:latin typeface="+mn-lt"/>
              <a:ea typeface="+mn-ea"/>
              <a:cs typeface="+mn-cs"/>
            </a:rPr>
            <a:t>terms, state limits, and</a:t>
          </a:r>
          <a:br>
            <a:rPr lang="en-US" sz="1000" baseline="0">
              <a:effectLst/>
              <a:latin typeface="+mn-lt"/>
              <a:ea typeface="+mn-ea"/>
              <a:cs typeface="+mn-cs"/>
            </a:rPr>
          </a:br>
          <a:r>
            <a:rPr lang="en-US" sz="1000" baseline="0">
              <a:effectLst/>
              <a:latin typeface="+mn-lt"/>
              <a:ea typeface="+mn-ea"/>
              <a:cs typeface="+mn-cs"/>
            </a:rPr>
            <a:t>targets.</a:t>
          </a:r>
          <a:endParaRPr lang="en-US" sz="1000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1E386D"/>
      </a:dk1>
      <a:lt1>
        <a:srgbClr val="FFFFFF"/>
      </a:lt1>
      <a:dk2>
        <a:srgbClr val="1E386D"/>
      </a:dk2>
      <a:lt2>
        <a:srgbClr val="FFFFFF"/>
      </a:lt2>
      <a:accent1>
        <a:srgbClr val="0071BA"/>
      </a:accent1>
      <a:accent2>
        <a:srgbClr val="1E386D"/>
      </a:accent2>
      <a:accent3>
        <a:srgbClr val="00833E"/>
      </a:accent3>
      <a:accent4>
        <a:srgbClr val="F2F9F5"/>
      </a:accent4>
      <a:accent5>
        <a:srgbClr val="7E57C6"/>
      </a:accent5>
      <a:accent6>
        <a:srgbClr val="FF8200"/>
      </a:accent6>
      <a:hlink>
        <a:srgbClr val="0071BA"/>
      </a:hlink>
      <a:folHlink>
        <a:srgbClr val="0071BA"/>
      </a:folHlink>
    </a:clrScheme>
    <a:fontScheme name="Sheets">
      <a:majorFont>
        <a:latin typeface="Source Sans Pro"/>
        <a:ea typeface="Source Sans Pro"/>
        <a:cs typeface="Source Sans Pro"/>
      </a:majorFont>
      <a:minorFont>
        <a:latin typeface="Source Sans Pro"/>
        <a:ea typeface="Source Sans Pro"/>
        <a:cs typeface="Source Sans Pr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outlinePr summaryBelow="0" summaryRight="0"/>
  </sheetPr>
  <dimension ref="A1:AB28"/>
  <sheetViews>
    <sheetView tabSelected="1" topLeftCell="E1" zoomScale="70" zoomScaleNormal="70" workbookViewId="0">
      <selection activeCell="O12" sqref="O12:P14"/>
    </sheetView>
  </sheetViews>
  <sheetFormatPr defaultColWidth="0" defaultRowHeight="15" customHeight="1" zeroHeight="1" outlineLevelCol="1"/>
  <cols>
    <col min="1" max="1" width="10.21875" style="62" customWidth="1"/>
    <col min="2" max="2" width="26" style="55" customWidth="1"/>
    <col min="3" max="3" width="39.88671875" style="63" customWidth="1" outlineLevel="1"/>
    <col min="4" max="4" width="6.33203125" style="55" customWidth="1"/>
    <col min="5" max="5" width="28.77734375" customWidth="1"/>
    <col min="6" max="6" width="10.109375" customWidth="1"/>
    <col min="7" max="10" width="17.5546875" customWidth="1"/>
    <col min="11" max="11" width="16.44140625" bestFit="1" customWidth="1"/>
    <col min="12" max="12" width="13.77734375" customWidth="1"/>
    <col min="13" max="13" width="8.77734375" customWidth="1"/>
    <col min="14" max="14" width="15.109375" customWidth="1"/>
    <col min="15" max="15" width="14.33203125" customWidth="1"/>
    <col min="16" max="16" width="12.109375" bestFit="1" customWidth="1"/>
    <col min="17" max="17" width="14.33203125" bestFit="1" customWidth="1"/>
    <col min="18" max="19" width="14.109375" customWidth="1"/>
    <col min="20" max="20" width="9.21875" customWidth="1"/>
    <col min="21" max="21" width="11" bestFit="1" customWidth="1"/>
    <col min="22" max="22" width="15.44140625" bestFit="1" customWidth="1"/>
    <col min="23" max="23" width="40.77734375" customWidth="1"/>
    <col min="24" max="24" width="12.88671875" hidden="1" customWidth="1"/>
    <col min="25" max="28" width="8.6640625" hidden="1" customWidth="1"/>
    <col min="29" max="16384" width="12.6640625" hidden="1"/>
  </cols>
  <sheetData>
    <row r="1" spans="1:23" ht="15" customHeight="1">
      <c r="A1" s="112" t="s">
        <v>62</v>
      </c>
      <c r="B1" s="113"/>
      <c r="C1" s="114"/>
      <c r="D1" s="116" t="s">
        <v>0</v>
      </c>
      <c r="E1" s="115" t="s">
        <v>0</v>
      </c>
      <c r="F1" s="115"/>
      <c r="G1" s="115"/>
      <c r="H1" s="115"/>
      <c r="I1" s="117" t="s">
        <v>1</v>
      </c>
      <c r="J1" s="117"/>
      <c r="K1" s="117" t="s">
        <v>2</v>
      </c>
      <c r="L1" s="117" t="s">
        <v>105</v>
      </c>
      <c r="M1" s="117"/>
      <c r="N1" s="117" t="s">
        <v>3</v>
      </c>
      <c r="O1" s="117" t="s">
        <v>4</v>
      </c>
      <c r="P1" s="117" t="s">
        <v>5</v>
      </c>
      <c r="Q1" s="117"/>
      <c r="R1" s="117" t="s">
        <v>6</v>
      </c>
      <c r="S1" s="117" t="s">
        <v>7</v>
      </c>
      <c r="T1" s="117" t="s">
        <v>8</v>
      </c>
      <c r="U1" s="117"/>
      <c r="V1" s="117" t="s">
        <v>9</v>
      </c>
      <c r="W1" s="1"/>
    </row>
    <row r="2" spans="1:23" ht="18.75" customHeight="1">
      <c r="A2" s="61" t="s">
        <v>63</v>
      </c>
      <c r="B2" s="61" t="s">
        <v>64</v>
      </c>
      <c r="C2" s="61" t="s">
        <v>65</v>
      </c>
      <c r="D2" s="116"/>
      <c r="E2" s="115"/>
      <c r="F2" s="115"/>
      <c r="G2" s="115"/>
      <c r="H2" s="115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"/>
    </row>
    <row r="3" spans="1:23" ht="18.75" customHeight="1">
      <c r="A3" s="58" t="s">
        <v>10</v>
      </c>
      <c r="B3" s="56" t="s">
        <v>66</v>
      </c>
      <c r="C3" s="59"/>
      <c r="D3" s="116"/>
      <c r="E3" s="2" t="s">
        <v>11</v>
      </c>
      <c r="F3" s="84"/>
      <c r="G3" s="3"/>
      <c r="H3" s="4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"/>
    </row>
    <row r="4" spans="1:23" ht="18.75" customHeight="1">
      <c r="A4" s="58" t="s">
        <v>12</v>
      </c>
      <c r="B4" s="56" t="s">
        <v>67</v>
      </c>
      <c r="C4" s="67" t="s">
        <v>68</v>
      </c>
      <c r="D4" s="116"/>
      <c r="E4" s="2" t="s">
        <v>13</v>
      </c>
      <c r="F4" s="85"/>
      <c r="G4" s="5">
        <f>F3*F4</f>
        <v>0</v>
      </c>
      <c r="H4" s="6" t="s">
        <v>14</v>
      </c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"/>
    </row>
    <row r="5" spans="1:23" ht="28.8">
      <c r="A5" s="58" t="s">
        <v>15</v>
      </c>
      <c r="B5" s="56" t="s">
        <v>69</v>
      </c>
      <c r="C5" s="67"/>
      <c r="D5" s="116"/>
      <c r="E5" s="2" t="s">
        <v>16</v>
      </c>
      <c r="F5" s="86"/>
      <c r="G5" s="7"/>
      <c r="H5" s="122" t="s">
        <v>17</v>
      </c>
      <c r="I5" s="8" t="s">
        <v>18</v>
      </c>
      <c r="J5" s="8" t="s">
        <v>98</v>
      </c>
      <c r="K5" s="9" t="s">
        <v>19</v>
      </c>
      <c r="L5" s="8" t="s">
        <v>18</v>
      </c>
      <c r="M5" s="8" t="s">
        <v>98</v>
      </c>
      <c r="N5" s="9" t="s">
        <v>20</v>
      </c>
      <c r="O5" s="9" t="s">
        <v>20</v>
      </c>
      <c r="P5" s="9" t="s">
        <v>18</v>
      </c>
      <c r="Q5" s="8" t="s">
        <v>98</v>
      </c>
      <c r="R5" s="8" t="s">
        <v>20</v>
      </c>
      <c r="S5" s="9" t="s">
        <v>20</v>
      </c>
      <c r="T5" s="8" t="s">
        <v>20</v>
      </c>
      <c r="U5" s="10" t="s">
        <v>21</v>
      </c>
      <c r="V5" s="8" t="s">
        <v>96</v>
      </c>
      <c r="W5" s="11"/>
    </row>
    <row r="6" spans="1:23" ht="18.75" customHeight="1">
      <c r="A6" s="58" t="s">
        <v>22</v>
      </c>
      <c r="B6" s="56" t="s">
        <v>70</v>
      </c>
      <c r="C6" s="67" t="s">
        <v>71</v>
      </c>
      <c r="D6" s="116"/>
      <c r="E6" s="2" t="s">
        <v>23</v>
      </c>
      <c r="F6" s="138">
        <f>IF($G$4&gt;0,G4/F5,0)</f>
        <v>0</v>
      </c>
      <c r="G6" s="139"/>
      <c r="H6" s="123"/>
      <c r="I6" s="141">
        <f>F6*F11</f>
        <v>0</v>
      </c>
      <c r="J6" s="142">
        <f>I6/43560</f>
        <v>0</v>
      </c>
      <c r="K6" s="143">
        <f>($F$21/12)*J6</f>
        <v>0</v>
      </c>
      <c r="L6" s="141">
        <f>$F6*$G$12</f>
        <v>0</v>
      </c>
      <c r="M6" s="142">
        <f>L6/43560</f>
        <v>0</v>
      </c>
      <c r="N6" s="143">
        <f>($G$21/12)*M6</f>
        <v>0</v>
      </c>
      <c r="O6" s="143">
        <f>K6-N6</f>
        <v>0</v>
      </c>
      <c r="P6" s="141">
        <f>$F6*($F$11-$G$12)</f>
        <v>0</v>
      </c>
      <c r="Q6" s="142">
        <f t="shared" ref="Q6:Q9" si="0">P6/43560</f>
        <v>0</v>
      </c>
      <c r="R6" s="143">
        <f>($F$21/12)*Q6*0.3</f>
        <v>0</v>
      </c>
      <c r="S6" s="143">
        <f t="shared" ref="S6:S9" si="1">(Q6*$F$21/12)-R6</f>
        <v>0</v>
      </c>
      <c r="T6" s="143">
        <f>O6+S6</f>
        <v>0</v>
      </c>
      <c r="U6" s="144">
        <f t="shared" ref="U6:U9" si="2">T6*325851.427/1000</f>
        <v>0</v>
      </c>
      <c r="V6" s="145"/>
      <c r="W6" s="98" t="s">
        <v>24</v>
      </c>
    </row>
    <row r="7" spans="1:23" ht="18.75" customHeight="1">
      <c r="A7" s="58" t="s">
        <v>25</v>
      </c>
      <c r="B7" s="56" t="s">
        <v>72</v>
      </c>
      <c r="C7" s="67" t="s">
        <v>73</v>
      </c>
      <c r="D7" s="116"/>
      <c r="E7" s="2" t="s">
        <v>97</v>
      </c>
      <c r="F7" s="87"/>
      <c r="G7" s="140">
        <f>F6*F7</f>
        <v>0</v>
      </c>
      <c r="H7" s="123"/>
      <c r="I7" s="141">
        <f>G7*F11</f>
        <v>0</v>
      </c>
      <c r="J7" s="142">
        <f t="shared" ref="J7:J9" si="3">I7/43560</f>
        <v>0</v>
      </c>
      <c r="K7" s="143">
        <f t="shared" ref="K7:K9" si="4">($F$21/12)*J7</f>
        <v>0</v>
      </c>
      <c r="L7" s="141">
        <f t="shared" ref="L7:L9" si="5">$G7*$G$12</f>
        <v>0</v>
      </c>
      <c r="M7" s="142">
        <f t="shared" ref="M7:M9" si="6">L7/43560</f>
        <v>0</v>
      </c>
      <c r="N7" s="143">
        <f t="shared" ref="N7:N9" si="7">($G$21/12)*M7</f>
        <v>0</v>
      </c>
      <c r="O7" s="143">
        <f t="shared" ref="O7:O9" si="8">K7-N7</f>
        <v>0</v>
      </c>
      <c r="P7" s="141">
        <f t="shared" ref="P7:P9" si="9">$G7*($F$11-$G$12)</f>
        <v>0</v>
      </c>
      <c r="Q7" s="142">
        <f t="shared" si="0"/>
        <v>0</v>
      </c>
      <c r="R7" s="143">
        <f t="shared" ref="R7:R9" si="10">($F$21/12)*Q7*0.3</f>
        <v>0</v>
      </c>
      <c r="S7" s="143">
        <f t="shared" si="1"/>
        <v>0</v>
      </c>
      <c r="T7" s="143">
        <f t="shared" ref="T7:T9" si="11">O7+S7</f>
        <v>0</v>
      </c>
      <c r="U7" s="144">
        <f t="shared" si="2"/>
        <v>0</v>
      </c>
      <c r="V7" s="146">
        <f>IF($G$7&gt;0,(U7*1000)/($Q$15),0)</f>
        <v>0</v>
      </c>
      <c r="W7" s="98" t="s">
        <v>26</v>
      </c>
    </row>
    <row r="8" spans="1:23" ht="18.75" customHeight="1">
      <c r="A8" s="58" t="s">
        <v>27</v>
      </c>
      <c r="B8" s="56" t="s">
        <v>74</v>
      </c>
      <c r="C8" s="67" t="s">
        <v>75</v>
      </c>
      <c r="D8" s="116"/>
      <c r="E8" s="2" t="s">
        <v>28</v>
      </c>
      <c r="F8" s="87"/>
      <c r="G8" s="140">
        <f>F8*G7</f>
        <v>0</v>
      </c>
      <c r="H8" s="123"/>
      <c r="I8" s="141">
        <f>$F$8*I7</f>
        <v>0</v>
      </c>
      <c r="J8" s="142">
        <f t="shared" si="3"/>
        <v>0</v>
      </c>
      <c r="K8" s="143">
        <f t="shared" si="4"/>
        <v>0</v>
      </c>
      <c r="L8" s="141">
        <f t="shared" si="5"/>
        <v>0</v>
      </c>
      <c r="M8" s="142">
        <f t="shared" si="6"/>
        <v>0</v>
      </c>
      <c r="N8" s="143">
        <f t="shared" si="7"/>
        <v>0</v>
      </c>
      <c r="O8" s="143">
        <f t="shared" si="8"/>
        <v>0</v>
      </c>
      <c r="P8" s="141">
        <f t="shared" si="9"/>
        <v>0</v>
      </c>
      <c r="Q8" s="142">
        <f t="shared" si="0"/>
        <v>0</v>
      </c>
      <c r="R8" s="143">
        <f t="shared" si="10"/>
        <v>0</v>
      </c>
      <c r="S8" s="143">
        <f t="shared" si="1"/>
        <v>0</v>
      </c>
      <c r="T8" s="143">
        <f t="shared" si="11"/>
        <v>0</v>
      </c>
      <c r="U8" s="144">
        <f t="shared" si="2"/>
        <v>0</v>
      </c>
      <c r="V8" s="146">
        <f>IF(G8&gt;0,U8*1000/(Q12+(F8*Q14)),0)</f>
        <v>0</v>
      </c>
      <c r="W8" s="98" t="s">
        <v>29</v>
      </c>
    </row>
    <row r="9" spans="1:23" ht="18.75" customHeight="1">
      <c r="A9" s="58" t="s">
        <v>30</v>
      </c>
      <c r="B9" s="56" t="s">
        <v>91</v>
      </c>
      <c r="C9" s="67" t="s">
        <v>76</v>
      </c>
      <c r="D9" s="116"/>
      <c r="E9" s="46" t="s">
        <v>31</v>
      </c>
      <c r="F9" s="70">
        <f>(1-F8)</f>
        <v>1</v>
      </c>
      <c r="G9" s="71">
        <f>F9*G7</f>
        <v>0</v>
      </c>
      <c r="H9" s="124"/>
      <c r="I9" s="147">
        <f>F9*I7</f>
        <v>0</v>
      </c>
      <c r="J9" s="148">
        <f t="shared" si="3"/>
        <v>0</v>
      </c>
      <c r="K9" s="149">
        <f t="shared" si="4"/>
        <v>0</v>
      </c>
      <c r="L9" s="141">
        <f t="shared" si="5"/>
        <v>0</v>
      </c>
      <c r="M9" s="148">
        <f t="shared" si="6"/>
        <v>0</v>
      </c>
      <c r="N9" s="149">
        <f t="shared" si="7"/>
        <v>0</v>
      </c>
      <c r="O9" s="149">
        <f t="shared" si="8"/>
        <v>0</v>
      </c>
      <c r="P9" s="147">
        <f t="shared" si="9"/>
        <v>0</v>
      </c>
      <c r="Q9" s="148">
        <f t="shared" si="0"/>
        <v>0</v>
      </c>
      <c r="R9" s="149">
        <f t="shared" si="10"/>
        <v>0</v>
      </c>
      <c r="S9" s="143">
        <f t="shared" si="1"/>
        <v>0</v>
      </c>
      <c r="T9" s="143">
        <f t="shared" si="11"/>
        <v>0</v>
      </c>
      <c r="U9" s="144">
        <f t="shared" si="2"/>
        <v>0</v>
      </c>
      <c r="V9" s="146">
        <f>IF(G9&gt;0,U9*1000/(Q13+(F9*Q14)),0)</f>
        <v>0</v>
      </c>
      <c r="W9" s="98" t="s">
        <v>32</v>
      </c>
    </row>
    <row r="10" spans="1:23" ht="19.2" customHeight="1">
      <c r="A10" s="58" t="s">
        <v>36</v>
      </c>
      <c r="B10" s="56" t="s">
        <v>77</v>
      </c>
      <c r="C10" s="56"/>
      <c r="D10" s="128" t="s">
        <v>33</v>
      </c>
      <c r="E10" s="135" t="s">
        <v>34</v>
      </c>
      <c r="F10" s="126"/>
      <c r="G10" s="126"/>
      <c r="H10" s="126"/>
      <c r="I10" s="126"/>
      <c r="J10" s="126"/>
      <c r="K10" s="127"/>
      <c r="L10" s="12"/>
      <c r="M10" s="119" t="s">
        <v>35</v>
      </c>
      <c r="N10" s="125" t="s">
        <v>35</v>
      </c>
      <c r="O10" s="126"/>
      <c r="P10" s="126"/>
      <c r="Q10" s="126"/>
      <c r="R10" s="127"/>
      <c r="S10" s="42"/>
      <c r="T10" s="13"/>
      <c r="U10" s="13"/>
      <c r="V10" s="14"/>
      <c r="W10" s="15"/>
    </row>
    <row r="11" spans="1:23" ht="28.8" customHeight="1">
      <c r="A11" s="58" t="s">
        <v>38</v>
      </c>
      <c r="B11" s="56" t="s">
        <v>78</v>
      </c>
      <c r="C11" s="56" t="s">
        <v>79</v>
      </c>
      <c r="D11" s="129"/>
      <c r="E11" s="72" t="s">
        <v>37</v>
      </c>
      <c r="F11" s="88"/>
      <c r="G11" s="45"/>
      <c r="H11" s="99" t="s">
        <v>114</v>
      </c>
      <c r="I11" s="73"/>
      <c r="J11" s="73"/>
      <c r="K11" s="74"/>
      <c r="L11" s="17"/>
      <c r="M11" s="120"/>
      <c r="N11" s="45"/>
      <c r="O11" s="109" t="s">
        <v>111</v>
      </c>
      <c r="P11" s="109" t="s">
        <v>113</v>
      </c>
      <c r="Q11" s="110" t="s">
        <v>99</v>
      </c>
      <c r="R11" s="51"/>
      <c r="S11" s="43"/>
      <c r="T11" s="13"/>
      <c r="U11" s="13"/>
      <c r="V11" s="13"/>
      <c r="W11" s="13"/>
    </row>
    <row r="12" spans="1:23" ht="19.2" customHeight="1">
      <c r="A12" s="58" t="s">
        <v>41</v>
      </c>
      <c r="B12" s="56" t="s">
        <v>80</v>
      </c>
      <c r="C12" s="56" t="s">
        <v>109</v>
      </c>
      <c r="D12" s="129"/>
      <c r="E12" s="72" t="s">
        <v>39</v>
      </c>
      <c r="F12" s="89"/>
      <c r="G12" s="18">
        <f>F11*(1-F12)</f>
        <v>0</v>
      </c>
      <c r="H12" s="136" t="s">
        <v>115</v>
      </c>
      <c r="I12" s="124"/>
      <c r="J12" s="124"/>
      <c r="K12" s="74"/>
      <c r="L12" s="17"/>
      <c r="M12" s="120"/>
      <c r="N12" s="47" t="s">
        <v>40</v>
      </c>
      <c r="O12" s="111"/>
      <c r="P12" s="103"/>
      <c r="Q12" s="48">
        <f>IF(P12&gt;0,G16*G8*P12,O12*G12)</f>
        <v>0</v>
      </c>
      <c r="R12" s="51"/>
      <c r="S12" s="43"/>
      <c r="T12" s="13"/>
      <c r="U12" s="13"/>
      <c r="V12" s="19"/>
      <c r="W12" s="20"/>
    </row>
    <row r="13" spans="1:23" ht="19.2" customHeight="1">
      <c r="A13" s="58" t="s">
        <v>43</v>
      </c>
      <c r="B13" s="56" t="s">
        <v>81</v>
      </c>
      <c r="C13" s="56" t="s">
        <v>82</v>
      </c>
      <c r="D13" s="129"/>
      <c r="E13" s="72" t="s">
        <v>100</v>
      </c>
      <c r="F13" s="90"/>
      <c r="G13" s="18">
        <f>(F13/1000)</f>
        <v>0</v>
      </c>
      <c r="H13" s="75" t="s">
        <v>110</v>
      </c>
      <c r="I13" s="73"/>
      <c r="J13" s="73"/>
      <c r="K13" s="74"/>
      <c r="L13" s="17"/>
      <c r="M13" s="120"/>
      <c r="N13" s="47" t="s">
        <v>42</v>
      </c>
      <c r="O13" s="111"/>
      <c r="P13" s="104"/>
      <c r="Q13" s="48">
        <f>IF(P13&gt;0,G18*G9*P13,O13*G12)</f>
        <v>0</v>
      </c>
      <c r="R13" s="51"/>
      <c r="S13" s="43"/>
      <c r="T13" s="13"/>
      <c r="U13" s="13"/>
      <c r="V13" s="19"/>
      <c r="W13" s="20"/>
    </row>
    <row r="14" spans="1:23" ht="19.2" customHeight="1">
      <c r="A14" s="64" t="s">
        <v>45</v>
      </c>
      <c r="B14" s="65" t="s">
        <v>83</v>
      </c>
      <c r="C14" s="65" t="s">
        <v>84</v>
      </c>
      <c r="D14" s="129"/>
      <c r="E14" s="72" t="s">
        <v>101</v>
      </c>
      <c r="F14" s="91"/>
      <c r="G14" s="21" t="e">
        <f>G12*G13/F14</f>
        <v>#DIV/0!</v>
      </c>
      <c r="H14" s="75" t="s">
        <v>104</v>
      </c>
      <c r="I14" s="73"/>
      <c r="J14" s="73"/>
      <c r="K14" s="74"/>
      <c r="L14" s="17"/>
      <c r="M14" s="120"/>
      <c r="N14" s="47" t="s">
        <v>44</v>
      </c>
      <c r="O14" s="111"/>
      <c r="P14" s="104"/>
      <c r="Q14" s="49">
        <f>IF(P14&gt;0,G19*G7*P14,O14*F11*F12)</f>
        <v>0</v>
      </c>
      <c r="R14" s="51"/>
      <c r="S14" s="43"/>
      <c r="T14" s="13"/>
      <c r="U14" s="13"/>
      <c r="V14" s="19"/>
      <c r="W14" s="20"/>
    </row>
    <row r="15" spans="1:23" ht="19.2" customHeight="1">
      <c r="A15" s="60"/>
      <c r="B15" s="57"/>
      <c r="C15" s="57"/>
      <c r="D15" s="129"/>
      <c r="E15" s="72" t="s">
        <v>46</v>
      </c>
      <c r="F15" s="92"/>
      <c r="G15" s="23" t="e">
        <f>(G14*F15)/G12</f>
        <v>#DIV/0!</v>
      </c>
      <c r="H15" s="75" t="s">
        <v>47</v>
      </c>
      <c r="I15" s="73"/>
      <c r="J15" s="73"/>
      <c r="K15" s="74"/>
      <c r="L15" s="17"/>
      <c r="M15" s="120"/>
      <c r="N15" s="50"/>
      <c r="O15" s="50"/>
      <c r="P15" s="46" t="s">
        <v>48</v>
      </c>
      <c r="Q15" s="48">
        <f>Q12+Q13+Q14</f>
        <v>0</v>
      </c>
      <c r="R15" s="51"/>
      <c r="S15" s="44"/>
      <c r="T15" s="19"/>
      <c r="U15" s="13"/>
      <c r="V15" s="19"/>
      <c r="W15" s="20"/>
    </row>
    <row r="16" spans="1:23" ht="19.2" customHeight="1">
      <c r="A16" s="60"/>
      <c r="B16" s="57"/>
      <c r="C16" s="57"/>
      <c r="D16" s="129"/>
      <c r="E16" s="131" t="s">
        <v>49</v>
      </c>
      <c r="F16" s="124"/>
      <c r="G16" s="25" t="e">
        <f>F15*(ROUNDUP(G14,1))</f>
        <v>#DIV/0!</v>
      </c>
      <c r="H16" s="136" t="s">
        <v>103</v>
      </c>
      <c r="I16" s="124"/>
      <c r="J16" s="124"/>
      <c r="K16" s="76"/>
      <c r="L16" s="17"/>
      <c r="M16" s="121"/>
      <c r="N16" s="52"/>
      <c r="O16" s="52"/>
      <c r="P16" s="53"/>
      <c r="Q16" s="52"/>
      <c r="R16" s="54"/>
      <c r="S16" s="44"/>
      <c r="T16" s="19"/>
      <c r="U16" s="13"/>
      <c r="V16" s="19"/>
      <c r="W16" s="20"/>
    </row>
    <row r="17" spans="1:23" ht="19.2" customHeight="1">
      <c r="A17" s="66" t="s">
        <v>85</v>
      </c>
      <c r="B17" s="68" t="s">
        <v>86</v>
      </c>
      <c r="C17" s="68" t="s">
        <v>87</v>
      </c>
      <c r="D17" s="129"/>
      <c r="E17" s="72" t="s">
        <v>50</v>
      </c>
      <c r="F17" s="93"/>
      <c r="G17" s="150" t="e">
        <f>G12/F17</f>
        <v>#DIV/0!</v>
      </c>
      <c r="H17" s="136" t="s">
        <v>116</v>
      </c>
      <c r="I17" s="124"/>
      <c r="J17" s="124"/>
      <c r="K17" s="77"/>
      <c r="L17" s="26"/>
      <c r="M17" s="27"/>
      <c r="N17" s="27"/>
      <c r="O17" s="27"/>
      <c r="P17" s="27"/>
      <c r="Q17" s="27"/>
      <c r="R17" s="27"/>
      <c r="S17" s="27"/>
      <c r="T17" s="27"/>
      <c r="U17" s="27"/>
      <c r="V17" s="16"/>
      <c r="W17" s="20"/>
    </row>
    <row r="18" spans="1:23" ht="19.2" customHeight="1">
      <c r="A18" s="58" t="s">
        <v>88</v>
      </c>
      <c r="B18" s="56" t="s">
        <v>89</v>
      </c>
      <c r="C18" s="56" t="s">
        <v>90</v>
      </c>
      <c r="D18" s="129"/>
      <c r="E18" s="72" t="s">
        <v>51</v>
      </c>
      <c r="F18" s="94"/>
      <c r="G18" s="28">
        <f>F18*G12</f>
        <v>0</v>
      </c>
      <c r="H18" s="136" t="s">
        <v>102</v>
      </c>
      <c r="I18" s="124"/>
      <c r="J18" s="124"/>
      <c r="K18" s="77"/>
      <c r="L18" s="26"/>
      <c r="M18" s="13"/>
      <c r="N18" s="13"/>
      <c r="O18" s="13"/>
      <c r="P18" s="13"/>
      <c r="Q18" s="13"/>
      <c r="R18" s="13"/>
      <c r="S18" s="13"/>
      <c r="T18" s="13"/>
      <c r="U18" s="13"/>
      <c r="V18" s="16"/>
      <c r="W18" s="20"/>
    </row>
    <row r="19" spans="1:23" ht="19.2" customHeight="1">
      <c r="A19" s="57"/>
      <c r="B19" s="69"/>
      <c r="C19" s="57"/>
      <c r="D19" s="129"/>
      <c r="E19" s="72" t="s">
        <v>52</v>
      </c>
      <c r="F19" s="95"/>
      <c r="G19" s="28">
        <f>F19*($F$11*$F$12)</f>
        <v>0</v>
      </c>
      <c r="H19" s="136" t="s">
        <v>112</v>
      </c>
      <c r="I19" s="124"/>
      <c r="J19" s="124"/>
      <c r="K19" s="137"/>
      <c r="L19" s="26"/>
      <c r="M19" s="13"/>
      <c r="N19" s="13"/>
      <c r="O19" s="13"/>
      <c r="P19" s="13"/>
      <c r="Q19" s="13"/>
      <c r="R19" s="13"/>
      <c r="S19" s="13"/>
      <c r="T19" s="13"/>
      <c r="U19" s="13"/>
      <c r="V19" s="16"/>
      <c r="W19" s="20"/>
    </row>
    <row r="20" spans="1:23" ht="19.2" customHeight="1">
      <c r="A20" s="60"/>
      <c r="B20" s="57"/>
      <c r="C20" s="57"/>
      <c r="D20" s="129"/>
      <c r="E20" s="29" t="s">
        <v>53</v>
      </c>
      <c r="F20" s="30"/>
      <c r="G20" s="30"/>
      <c r="H20" s="30"/>
      <c r="I20" s="30"/>
      <c r="J20" s="30"/>
      <c r="K20" s="78" t="s">
        <v>61</v>
      </c>
      <c r="L20" s="26"/>
      <c r="M20" s="13" t="s">
        <v>54</v>
      </c>
      <c r="N20" s="13"/>
      <c r="O20" s="13"/>
      <c r="P20" s="13"/>
      <c r="Q20" s="13"/>
      <c r="R20" s="13"/>
      <c r="S20" s="13"/>
      <c r="T20" s="13"/>
      <c r="U20" s="13"/>
      <c r="V20" s="16"/>
      <c r="W20" s="20"/>
    </row>
    <row r="21" spans="1:23" ht="19.2" customHeight="1">
      <c r="A21" s="60"/>
      <c r="B21" s="57"/>
      <c r="C21" s="57"/>
      <c r="D21" s="129"/>
      <c r="E21" s="79" t="s">
        <v>55</v>
      </c>
      <c r="F21" s="96"/>
      <c r="G21" s="31">
        <f>IF(K21="Cool season", F21*0.6, IF(K21="Warm season", F21*0.4, 1))</f>
        <v>0</v>
      </c>
      <c r="H21" s="136" t="s">
        <v>106</v>
      </c>
      <c r="I21" s="124"/>
      <c r="J21" s="124"/>
      <c r="K21" s="97" t="s">
        <v>92</v>
      </c>
      <c r="L21" s="26"/>
      <c r="M21" s="13"/>
      <c r="N21" s="13"/>
      <c r="O21" s="13"/>
      <c r="P21" s="13"/>
      <c r="Q21" s="13"/>
      <c r="R21" s="13"/>
      <c r="S21" s="13"/>
      <c r="T21" s="13"/>
      <c r="U21" s="13"/>
      <c r="V21" s="16"/>
      <c r="W21" s="20"/>
    </row>
    <row r="22" spans="1:23" ht="19.2" customHeight="1">
      <c r="A22" s="60"/>
      <c r="B22" s="57"/>
      <c r="C22" s="57"/>
      <c r="D22" s="129"/>
      <c r="E22" s="32"/>
      <c r="F22" s="80"/>
      <c r="G22" s="33">
        <f>F21-G21</f>
        <v>0</v>
      </c>
      <c r="H22" s="136" t="s">
        <v>56</v>
      </c>
      <c r="I22" s="124"/>
      <c r="J22" s="124"/>
      <c r="K22" s="81"/>
      <c r="L22" s="26"/>
      <c r="M22" s="13"/>
      <c r="N22" s="13"/>
      <c r="O22" s="13"/>
      <c r="P22" s="13"/>
      <c r="Q22" s="13"/>
      <c r="R22" s="13"/>
      <c r="S22" s="13"/>
      <c r="T22" s="13"/>
      <c r="U22" s="13"/>
      <c r="V22" s="16"/>
      <c r="W22" s="20"/>
    </row>
    <row r="23" spans="1:23" ht="28.2" customHeight="1">
      <c r="A23" s="60"/>
      <c r="B23" s="57"/>
      <c r="C23" s="57"/>
      <c r="D23" s="129"/>
      <c r="E23" s="34"/>
      <c r="F23" s="82"/>
      <c r="G23" s="132" t="s">
        <v>94</v>
      </c>
      <c r="H23" s="134" t="s">
        <v>95</v>
      </c>
      <c r="I23" s="117" t="s">
        <v>107</v>
      </c>
      <c r="J23" s="117" t="s">
        <v>108</v>
      </c>
      <c r="K23" s="81"/>
      <c r="L23" s="26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35"/>
    </row>
    <row r="24" spans="1:23" ht="28.8" customHeight="1">
      <c r="A24" s="60"/>
      <c r="B24" s="57"/>
      <c r="C24" s="57"/>
      <c r="D24" s="129"/>
      <c r="E24" s="36" t="s">
        <v>57</v>
      </c>
      <c r="F24" s="83" t="s">
        <v>93</v>
      </c>
      <c r="G24" s="133"/>
      <c r="H24" s="133"/>
      <c r="I24" s="133"/>
      <c r="J24" s="133"/>
      <c r="K24" s="81"/>
      <c r="L24" s="26"/>
      <c r="M24" s="13"/>
      <c r="N24" s="13"/>
      <c r="O24" s="13"/>
      <c r="P24" s="13"/>
      <c r="Q24" s="13"/>
      <c r="R24" s="13"/>
      <c r="S24" s="13"/>
      <c r="T24" s="13"/>
      <c r="U24" s="22"/>
      <c r="V24" s="13"/>
      <c r="W24" s="35"/>
    </row>
    <row r="25" spans="1:23" ht="19.2" customHeight="1">
      <c r="A25" s="60"/>
      <c r="B25" s="57"/>
      <c r="C25" s="57"/>
      <c r="D25" s="129"/>
      <c r="E25" s="32" t="s">
        <v>58</v>
      </c>
      <c r="F25" s="18">
        <f>$G$12</f>
        <v>0</v>
      </c>
      <c r="G25" s="37">
        <f>(($G$22/12)*F25)/100</f>
        <v>0</v>
      </c>
      <c r="H25" s="105"/>
      <c r="I25" s="38" t="e">
        <f>($G$25*748.5)/($G$16)</f>
        <v>#DIV/0!</v>
      </c>
      <c r="J25" s="38" t="e">
        <f>(G25*748.5)/G18</f>
        <v>#DIV/0!</v>
      </c>
      <c r="K25" s="81"/>
      <c r="L25" s="26"/>
      <c r="M25" s="13"/>
      <c r="N25" s="13"/>
      <c r="O25" s="13"/>
      <c r="P25" s="13"/>
      <c r="Q25" s="13"/>
      <c r="R25" s="13"/>
      <c r="S25" s="13"/>
      <c r="T25" s="39"/>
      <c r="U25" s="24"/>
      <c r="V25" s="40"/>
      <c r="W25" s="20"/>
    </row>
    <row r="26" spans="1:23" ht="19.2" customHeight="1">
      <c r="A26" s="60"/>
      <c r="B26" s="57"/>
      <c r="C26" s="57"/>
      <c r="D26" s="129"/>
      <c r="E26" s="32" t="s">
        <v>59</v>
      </c>
      <c r="F26" s="106">
        <f>$F$12*$F$11</f>
        <v>0</v>
      </c>
      <c r="G26" s="106">
        <f>(0.7*($F$21/12)*F26)/100</f>
        <v>0</v>
      </c>
      <c r="H26" s="107">
        <f>IF($F$26&gt;0,($G$26*748.5)/($G$19),0)</f>
        <v>0</v>
      </c>
      <c r="I26" s="108"/>
      <c r="J26" s="108"/>
      <c r="K26" s="81"/>
      <c r="L26" s="26"/>
      <c r="M26" s="13"/>
      <c r="N26" s="13"/>
      <c r="O26" s="13"/>
      <c r="P26" s="13"/>
      <c r="Q26" s="13"/>
      <c r="R26" s="13"/>
      <c r="S26" s="13"/>
      <c r="T26" s="13"/>
      <c r="U26" s="27"/>
      <c r="V26" s="16"/>
      <c r="W26" s="20"/>
    </row>
    <row r="27" spans="1:23" ht="19.2" customHeight="1">
      <c r="A27" s="60"/>
      <c r="B27" s="57"/>
      <c r="C27" s="57"/>
      <c r="D27" s="129"/>
      <c r="E27" s="32" t="s">
        <v>60</v>
      </c>
      <c r="F27" s="100">
        <f>SUM(F25:F26)</f>
        <v>0</v>
      </c>
      <c r="G27" s="101">
        <f>G26+G25</f>
        <v>0</v>
      </c>
      <c r="H27" s="102">
        <f>H26</f>
        <v>0</v>
      </c>
      <c r="I27" s="102" t="e">
        <f t="shared" ref="I27:J27" si="12">SUM(I25:I26)</f>
        <v>#DIV/0!</v>
      </c>
      <c r="J27" s="102" t="e">
        <f t="shared" si="12"/>
        <v>#DIV/0!</v>
      </c>
      <c r="K27" s="81"/>
      <c r="L27" s="26"/>
      <c r="M27" s="13"/>
      <c r="N27" s="13"/>
      <c r="O27" s="13"/>
      <c r="P27" s="13"/>
      <c r="Q27" s="13"/>
      <c r="R27" s="13"/>
      <c r="S27" s="13"/>
      <c r="T27" s="13"/>
      <c r="U27" s="13"/>
      <c r="V27" s="16"/>
      <c r="W27" s="20"/>
    </row>
    <row r="28" spans="1:23" ht="76.2" customHeight="1">
      <c r="A28" s="60"/>
      <c r="B28" s="57"/>
      <c r="C28" s="57"/>
      <c r="D28" s="130"/>
      <c r="E28" s="81"/>
      <c r="F28" s="81" t="s">
        <v>54</v>
      </c>
      <c r="G28" s="81"/>
      <c r="H28" s="81"/>
      <c r="I28" s="81"/>
      <c r="J28" s="81"/>
      <c r="K28" s="81"/>
      <c r="L28" s="40"/>
      <c r="M28" s="41"/>
      <c r="N28" s="13"/>
      <c r="O28" s="13"/>
      <c r="P28" s="13"/>
      <c r="Q28" s="13"/>
      <c r="R28" s="13"/>
      <c r="S28" s="13"/>
      <c r="T28" s="13"/>
      <c r="U28" s="13"/>
      <c r="V28" s="13"/>
      <c r="W28" s="20"/>
    </row>
  </sheetData>
  <sheetProtection sheet="1" selectLockedCells="1" pivotTables="0"/>
  <protectedRanges>
    <protectedRange sqref="F21 K21" name="Range6"/>
    <protectedRange sqref="F17:F19" name="Range5"/>
    <protectedRange sqref="F11:F15" name="Range4"/>
    <protectedRange sqref="F7:F8" name="Range3"/>
    <protectedRange sqref="F3:F5" name="Range2"/>
    <protectedRange sqref="O12:P14" name="Range1"/>
  </protectedRanges>
  <mergeCells count="31">
    <mergeCell ref="D10:D28"/>
    <mergeCell ref="E16:F16"/>
    <mergeCell ref="G23:G24"/>
    <mergeCell ref="H23:H24"/>
    <mergeCell ref="E10:K10"/>
    <mergeCell ref="H22:J22"/>
    <mergeCell ref="I23:I24"/>
    <mergeCell ref="J23:J24"/>
    <mergeCell ref="H12:J12"/>
    <mergeCell ref="H16:J16"/>
    <mergeCell ref="H17:J17"/>
    <mergeCell ref="H18:J18"/>
    <mergeCell ref="H19:K19"/>
    <mergeCell ref="H21:J21"/>
    <mergeCell ref="S1:S4"/>
    <mergeCell ref="T1:U4"/>
    <mergeCell ref="V1:V4"/>
    <mergeCell ref="M10:M16"/>
    <mergeCell ref="H5:H9"/>
    <mergeCell ref="N10:R10"/>
    <mergeCell ref="A1:C1"/>
    <mergeCell ref="E1:H2"/>
    <mergeCell ref="D1:D9"/>
    <mergeCell ref="I1:J4"/>
    <mergeCell ref="R1:R4"/>
    <mergeCell ref="F6:G6"/>
    <mergeCell ref="K1:K4"/>
    <mergeCell ref="L1:M4"/>
    <mergeCell ref="N1:N4"/>
    <mergeCell ref="O1:O4"/>
    <mergeCell ref="P1:Q4"/>
  </mergeCells>
  <conditionalFormatting sqref="R6:U9 V7:V9 G12:G14 Q12:Q14 I25:J25 F25:G27 H26:H27 I27:J27">
    <cfRule type="cellIs" dxfId="0" priority="1" operator="lessThan">
      <formula>0</formula>
    </cfRule>
  </conditionalFormatting>
  <dataValidations count="2">
    <dataValidation type="list" allowBlank="1" showInputMessage="1" showErrorMessage="1" promptTitle="Grass Type" prompt="Cool season grasses are fescues, bluesgrasses, and ryegrasses. Warm season grasses are zoysia, centipede, bermudagrasses and St Augustine grasses." sqref="K21" xr:uid="{A442DF7E-23FD-420C-8E28-F0F2DB557F34}">
      <formula1>"Cool season, Warm season"</formula1>
    </dataValidation>
    <dataValidation type="list" allowBlank="1" showInputMessage="1" showErrorMessage="1" promptTitle="Sod Roll Size" prompt="Please enter your sod roll size (square ft). NOTE: 10 sqft. is the standard roll size." sqref="F17" xr:uid="{C0F596E4-0A09-4651-BA0D-8F1937CFA0A2}">
      <formula1>"9, 10, 225"</formula1>
    </dataValidation>
  </dataValidations>
  <pageMargins left="0.7" right="0.7" top="0.75" bottom="0.75" header="0" footer="0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0628644A978469BE97212763889C9" ma:contentTypeVersion="19" ma:contentTypeDescription="Create a new document." ma:contentTypeScope="" ma:versionID="679de47f0d59fc641921f2c7334170d9">
  <xsd:schema xmlns:xsd="http://www.w3.org/2001/XMLSchema" xmlns:xs="http://www.w3.org/2001/XMLSchema" xmlns:p="http://schemas.microsoft.com/office/2006/metadata/properties" xmlns:ns2="de1d06a0-dfd8-4094-ac69-1fd8b10d9677" xmlns:ns3="55f61ec8-ca77-4518-ac58-952f302a2873" targetNamespace="http://schemas.microsoft.com/office/2006/metadata/properties" ma:root="true" ma:fieldsID="7043ecaacf58c15421aa5a5505ba5dbc" ns2:_="" ns3:_="">
    <xsd:import namespace="de1d06a0-dfd8-4094-ac69-1fd8b10d9677"/>
    <xsd:import namespace="55f61ec8-ca77-4518-ac58-952f302a28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d06a0-dfd8-4094-ac69-1fd8b10d9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ef51058-1272-4d4c-8312-92f21a00c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61ec8-ca77-4518-ac58-952f302a287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670497c-0452-4098-b661-b2832c50ae50}" ma:internalName="TaxCatchAll" ma:showField="CatchAllData" ma:web="55f61ec8-ca77-4518-ac58-952f302a28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f61ec8-ca77-4518-ac58-952f302a2873" xsi:nil="true"/>
    <lcf76f155ced4ddcb4097134ff3c332f xmlns="de1d06a0-dfd8-4094-ac69-1fd8b10d96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21CA92-0D6E-40DC-87E5-98492B434A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79A207-E6DB-4DE7-B611-0A040E29DA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d06a0-dfd8-4094-ac69-1fd8b10d9677"/>
    <ds:schemaRef ds:uri="55f61ec8-ca77-4518-ac58-952f302a2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9C7318-96C2-4BB2-B999-738B3689F68C}">
  <ds:schemaRefs>
    <ds:schemaRef ds:uri="55f61ec8-ca77-4518-ac58-952f302a2873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e1d06a0-dfd8-4094-ac69-1fd8b10d967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Turf Trade Tool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karlin</dc:creator>
  <cp:lastModifiedBy>Devin Smith</cp:lastModifiedBy>
  <cp:lastPrinted>2026-07-22T20:05:43Z</cp:lastPrinted>
  <dcterms:created xsi:type="dcterms:W3CDTF">2026-02-02T21:50:12Z</dcterms:created>
  <dcterms:modified xsi:type="dcterms:W3CDTF">2026-08-11T20:46:11Z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0x0101001E80628644A978469BE97212763889C9</vt:lpwstr>
  </property>
  <property fmtid="{D5CDD505-2E9C-101B-9397-08002B2CF9AE}" pid="3" name="MediaServiceImageTags">
    <vt:lpwstr/>
  </property>
</Properties>
</file>